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3735" windowWidth="15330" windowHeight="6165" tabRatio="872"/>
  </bookViews>
  <sheets>
    <sheet name="2011 Quarterly " sheetId="29" r:id="rId1"/>
    <sheet name="2010 Quarterly" sheetId="27" r:id="rId2"/>
    <sheet name="Magnolia" sheetId="10" r:id="rId3"/>
    <sheet name="Mountainview" sheetId="11" r:id="rId4"/>
    <sheet name="NPC Lenzie - Breakers" sheetId="12" r:id="rId5"/>
    <sheet name="Pastoria" sheetId="13" r:id="rId6"/>
    <sheet name="SNWA" sheetId="14" r:id="rId7"/>
    <sheet name="Lugo" sheetId="15" r:id="rId8"/>
    <sheet name="Moenkopi" sheetId="16" r:id="rId9"/>
    <sheet name="Inland Empire Energy Center" sheetId="17" r:id="rId10"/>
    <sheet name="Blythe I" sheetId="24" r:id="rId11"/>
  </sheets>
  <definedNames>
    <definedName name="_xlnm._FilterDatabase" localSheetId="5" hidden="1">Pastoria!$A$51:$J$51</definedName>
    <definedName name="_xlnm.Print_Area" localSheetId="1">'2010 Quarterly'!$A$1:$I$61</definedName>
    <definedName name="_xlnm.Print_Area" localSheetId="0">'2011 Quarterly '!$A$1:$I$45</definedName>
    <definedName name="_xlnm.Print_Area" localSheetId="10">'Blythe I'!$A$1:$L$93</definedName>
    <definedName name="_xlnm.Print_Area" localSheetId="7">Lugo!$A$1:$K$87</definedName>
    <definedName name="_xlnm.Print_Area" localSheetId="8">Moenkopi!$A$1:$L$90</definedName>
    <definedName name="_xlnm.Print_Area" localSheetId="5">Pastoria!$A$1:$J$554</definedName>
    <definedName name="_xlnm.Print_Titles" localSheetId="1">'2010 Quarterly'!$1:$1</definedName>
    <definedName name="_xlnm.Print_Titles" localSheetId="0">'2011 Quarterly '!$1:$1</definedName>
    <definedName name="Z_6086CA2F_D319_4FB4_8773_987A9787386E_.wvu.FilterData" localSheetId="5" hidden="1">Pastoria!$A$51:$J$51</definedName>
    <definedName name="Z_6086CA2F_D319_4FB4_8773_987A9787386E_.wvu.PrintArea" localSheetId="1" hidden="1">'2010 Quarterly'!$A$1:$I$53</definedName>
    <definedName name="Z_6086CA2F_D319_4FB4_8773_987A9787386E_.wvu.PrintArea" localSheetId="0" hidden="1">'2011 Quarterly '!$A$1:$I$37</definedName>
    <definedName name="Z_6086CA2F_D319_4FB4_8773_987A9787386E_.wvu.PrintArea" localSheetId="7" hidden="1">Lugo!$A$1:$K$87</definedName>
    <definedName name="Z_6086CA2F_D319_4FB4_8773_987A9787386E_.wvu.PrintTitles" localSheetId="1" hidden="1">'2010 Quarterly'!$1:$1</definedName>
    <definedName name="Z_6086CA2F_D319_4FB4_8773_987A9787386E_.wvu.PrintTitles" localSheetId="0" hidden="1">'2011 Quarterly '!$1:$1</definedName>
    <definedName name="Z_6086CA2F_D319_4FB4_8773_987A9787386E_.wvu.Rows" localSheetId="5" hidden="1">Pastoria!$38:$45</definedName>
  </definedNames>
  <calcPr calcId="145621" fullCalcOnLoad="1"/>
  <customWorkbookViews>
    <customWorkbookView name="Standard Configuration - Personal View" guid="{6086CA2F-D319-4FB4-8773-987A9787386E}" mergeInterval="0" personalView="1" maximized="1" windowWidth="1020" windowHeight="578" tabRatio="1000" activeSheetId="1"/>
  </customWorkbookViews>
</workbook>
</file>

<file path=xl/calcChain.xml><?xml version="1.0" encoding="utf-8"?>
<calcChain xmlns="http://schemas.openxmlformats.org/spreadsheetml/2006/main">
  <c r="H34" i="29" l="1"/>
  <c r="G34" i="29"/>
  <c r="G4" i="29"/>
  <c r="H4" i="29"/>
  <c r="H60" i="16"/>
  <c r="B31" i="27"/>
  <c r="B32" i="27"/>
  <c r="F37" i="17"/>
  <c r="G36" i="17"/>
  <c r="G37" i="17"/>
  <c r="G27" i="17"/>
  <c r="G28" i="17"/>
  <c r="G29" i="17"/>
  <c r="G26" i="17"/>
  <c r="G23" i="17"/>
  <c r="G24" i="17"/>
  <c r="G25" i="17"/>
  <c r="G22" i="17"/>
  <c r="G19" i="17"/>
  <c r="G20" i="17"/>
  <c r="G21" i="17"/>
  <c r="G17" i="17"/>
  <c r="G16" i="17"/>
  <c r="G64" i="24"/>
  <c r="G63" i="24"/>
  <c r="G62" i="24"/>
  <c r="G46" i="24"/>
  <c r="G45" i="24"/>
  <c r="G44" i="24"/>
  <c r="G43" i="24"/>
  <c r="J67" i="15"/>
  <c r="J56" i="10"/>
  <c r="J92" i="11"/>
  <c r="J40" i="16"/>
  <c r="J41" i="15"/>
  <c r="I61" i="15"/>
  <c r="H79" i="16"/>
  <c r="H80" i="16"/>
  <c r="H78" i="16"/>
  <c r="H77" i="16"/>
  <c r="H76" i="16"/>
  <c r="H75" i="16"/>
  <c r="F61" i="16"/>
  <c r="H51" i="16"/>
  <c r="H52" i="16"/>
  <c r="H50" i="16"/>
  <c r="H49" i="16"/>
  <c r="H48" i="16"/>
  <c r="H47" i="16"/>
  <c r="F70" i="16"/>
  <c r="F71" i="16"/>
  <c r="F72" i="16"/>
  <c r="F73" i="16"/>
  <c r="F74" i="16"/>
  <c r="F75" i="16"/>
  <c r="F76" i="16"/>
  <c r="F77" i="16"/>
  <c r="F78" i="16"/>
  <c r="G78" i="16"/>
  <c r="F48" i="16"/>
  <c r="F42" i="16"/>
  <c r="F39" i="16"/>
  <c r="G9" i="29"/>
  <c r="G20" i="27"/>
  <c r="H72" i="24"/>
  <c r="H70" i="24"/>
  <c r="H88" i="24"/>
  <c r="H89" i="24"/>
  <c r="H90" i="24"/>
  <c r="D37" i="24"/>
  <c r="B36" i="24"/>
  <c r="D36" i="24"/>
  <c r="G112" i="15"/>
  <c r="C111" i="15"/>
  <c r="B111" i="15"/>
  <c r="D111" i="15"/>
  <c r="E111" i="15"/>
  <c r="C110" i="15"/>
  <c r="B110" i="15"/>
  <c r="D110" i="15"/>
  <c r="E110" i="15"/>
  <c r="C109" i="15"/>
  <c r="B109" i="15"/>
  <c r="D109" i="15"/>
  <c r="E109" i="15"/>
  <c r="C108" i="15"/>
  <c r="B108" i="15"/>
  <c r="D108" i="15"/>
  <c r="E108" i="15"/>
  <c r="C107" i="15"/>
  <c r="B107" i="15"/>
  <c r="D107" i="15"/>
  <c r="E107" i="15"/>
  <c r="C106" i="15"/>
  <c r="C112" i="15"/>
  <c r="J33" i="15"/>
  <c r="B106" i="15"/>
  <c r="B112" i="15"/>
  <c r="F112" i="15"/>
  <c r="F113" i="15"/>
  <c r="G98" i="15"/>
  <c r="C97" i="15"/>
  <c r="B97" i="15"/>
  <c r="F97" i="15"/>
  <c r="C96" i="15"/>
  <c r="B96" i="15"/>
  <c r="F96" i="15"/>
  <c r="C95" i="15"/>
  <c r="B95" i="15"/>
  <c r="F95" i="15"/>
  <c r="C94" i="15"/>
  <c r="B94" i="15"/>
  <c r="F94" i="15"/>
  <c r="C93" i="15"/>
  <c r="B93" i="15"/>
  <c r="F93" i="15"/>
  <c r="C92" i="15"/>
  <c r="C98" i="15"/>
  <c r="B92" i="15"/>
  <c r="B98" i="15"/>
  <c r="B87" i="15"/>
  <c r="D87" i="15"/>
  <c r="B86" i="15"/>
  <c r="D86" i="15"/>
  <c r="B85" i="15"/>
  <c r="D85" i="15"/>
  <c r="B84" i="15"/>
  <c r="D84" i="15"/>
  <c r="B83" i="15"/>
  <c r="D83" i="15"/>
  <c r="B82" i="15"/>
  <c r="D82" i="15"/>
  <c r="B81" i="15"/>
  <c r="D81" i="15"/>
  <c r="B80" i="15"/>
  <c r="D80" i="15"/>
  <c r="B79" i="15"/>
  <c r="D79" i="15"/>
  <c r="B78" i="15"/>
  <c r="D78" i="15"/>
  <c r="B77" i="15"/>
  <c r="D77" i="15"/>
  <c r="B76" i="15"/>
  <c r="D76" i="15"/>
  <c r="B75" i="15"/>
  <c r="D75" i="15"/>
  <c r="B74" i="15"/>
  <c r="D74" i="15"/>
  <c r="B73" i="15"/>
  <c r="D73" i="15"/>
  <c r="B72" i="15"/>
  <c r="D72" i="15"/>
  <c r="B71" i="15"/>
  <c r="D71" i="15"/>
  <c r="B70" i="15"/>
  <c r="D70" i="15"/>
  <c r="B69" i="15"/>
  <c r="D69" i="15"/>
  <c r="B67" i="15"/>
  <c r="D67" i="15"/>
  <c r="D66" i="15"/>
  <c r="B66" i="15"/>
  <c r="B65" i="15"/>
  <c r="D65" i="15"/>
  <c r="B60" i="15"/>
  <c r="D60" i="15"/>
  <c r="B59" i="15"/>
  <c r="D59" i="15"/>
  <c r="B58" i="15"/>
  <c r="D58" i="15"/>
  <c r="B57" i="15"/>
  <c r="D57" i="15"/>
  <c r="B56" i="15"/>
  <c r="D56" i="15"/>
  <c r="B55" i="15"/>
  <c r="D55" i="15"/>
  <c r="B54" i="15"/>
  <c r="D54" i="15"/>
  <c r="B53" i="15"/>
  <c r="D53" i="15"/>
  <c r="B52" i="15"/>
  <c r="D52" i="15"/>
  <c r="B51" i="15"/>
  <c r="D51" i="15"/>
  <c r="B50" i="15"/>
  <c r="D50" i="15"/>
  <c r="B49" i="15"/>
  <c r="D49" i="15"/>
  <c r="B48" i="15"/>
  <c r="D48" i="15"/>
  <c r="B47" i="15"/>
  <c r="D47" i="15"/>
  <c r="B46" i="15"/>
  <c r="D46" i="15"/>
  <c r="B45" i="15"/>
  <c r="D45" i="15"/>
  <c r="B44" i="15"/>
  <c r="D44" i="15"/>
  <c r="B43" i="15"/>
  <c r="D43" i="15"/>
  <c r="B41" i="15"/>
  <c r="D41" i="15"/>
  <c r="B40" i="15"/>
  <c r="D40" i="15"/>
  <c r="B39" i="15"/>
  <c r="D39" i="15"/>
  <c r="E32" i="15"/>
  <c r="D32" i="15"/>
  <c r="H31" i="15"/>
  <c r="J30" i="15"/>
  <c r="I30" i="15"/>
  <c r="C30" i="15"/>
  <c r="C32" i="15"/>
  <c r="J29" i="15"/>
  <c r="I29" i="15"/>
  <c r="H29" i="15"/>
  <c r="F29" i="15"/>
  <c r="J28" i="15"/>
  <c r="I28" i="15"/>
  <c r="H28" i="15"/>
  <c r="F28" i="15"/>
  <c r="J27" i="15"/>
  <c r="I27" i="15"/>
  <c r="H27" i="15"/>
  <c r="F27" i="15"/>
  <c r="J26" i="15"/>
  <c r="I26" i="15"/>
  <c r="H26" i="15"/>
  <c r="F26" i="15"/>
  <c r="J25" i="15"/>
  <c r="I25" i="15"/>
  <c r="H25" i="15"/>
  <c r="F25" i="15"/>
  <c r="J24" i="15"/>
  <c r="I24" i="15"/>
  <c r="H24" i="15"/>
  <c r="F24" i="15"/>
  <c r="J23" i="15"/>
  <c r="I23" i="15"/>
  <c r="H23" i="15"/>
  <c r="K23" i="15"/>
  <c r="F23" i="15"/>
  <c r="J22" i="15"/>
  <c r="I22" i="15"/>
  <c r="H22" i="15"/>
  <c r="F22" i="15"/>
  <c r="J21" i="15"/>
  <c r="I21" i="15"/>
  <c r="K21" i="15"/>
  <c r="H21" i="15"/>
  <c r="F21" i="15"/>
  <c r="J20" i="15"/>
  <c r="I20" i="15"/>
  <c r="H20" i="15"/>
  <c r="F20" i="15"/>
  <c r="J19" i="15"/>
  <c r="I19" i="15"/>
  <c r="H19" i="15"/>
  <c r="K19" i="15"/>
  <c r="F19" i="15"/>
  <c r="J18" i="15"/>
  <c r="I18" i="15"/>
  <c r="H18" i="15"/>
  <c r="F18" i="15"/>
  <c r="J17" i="15"/>
  <c r="I17" i="15"/>
  <c r="K17" i="15"/>
  <c r="H17" i="15"/>
  <c r="F17" i="15"/>
  <c r="J16" i="15"/>
  <c r="I16" i="15"/>
  <c r="H16" i="15"/>
  <c r="F16" i="15"/>
  <c r="J15" i="15"/>
  <c r="I15" i="15"/>
  <c r="H15" i="15"/>
  <c r="F15" i="15"/>
  <c r="V12" i="15"/>
  <c r="H33" i="15"/>
  <c r="U12" i="15"/>
  <c r="R12" i="15"/>
  <c r="Q25" i="15"/>
  <c r="Q26" i="15"/>
  <c r="Q27" i="15"/>
  <c r="Q28" i="15"/>
  <c r="Q29" i="15"/>
  <c r="Q30" i="15"/>
  <c r="Q31" i="15"/>
  <c r="Q32" i="15"/>
  <c r="Q33" i="15"/>
  <c r="Q12" i="15"/>
  <c r="Q14" i="15"/>
  <c r="J14" i="15"/>
  <c r="I14" i="15"/>
  <c r="H14" i="15"/>
  <c r="K14" i="15"/>
  <c r="F14" i="15"/>
  <c r="J13" i="15"/>
  <c r="I13" i="15"/>
  <c r="H13" i="15"/>
  <c r="K13" i="15"/>
  <c r="F13" i="15"/>
  <c r="J12" i="15"/>
  <c r="I12" i="15"/>
  <c r="H12" i="15"/>
  <c r="K12" i="15"/>
  <c r="F12" i="15"/>
  <c r="J11" i="15"/>
  <c r="I11" i="15"/>
  <c r="H11" i="15"/>
  <c r="K11" i="15"/>
  <c r="F11" i="15"/>
  <c r="J10" i="15"/>
  <c r="I10" i="15"/>
  <c r="H10" i="15"/>
  <c r="K10" i="15"/>
  <c r="F10" i="15"/>
  <c r="J9" i="15"/>
  <c r="I9" i="15"/>
  <c r="H9" i="15"/>
  <c r="K9" i="15"/>
  <c r="F9" i="15"/>
  <c r="J8" i="15"/>
  <c r="I8" i="15"/>
  <c r="H8" i="15"/>
  <c r="K8" i="15"/>
  <c r="F8" i="15"/>
  <c r="J7" i="15"/>
  <c r="I7" i="15"/>
  <c r="H7" i="15"/>
  <c r="K7" i="15"/>
  <c r="F7" i="15"/>
  <c r="J6" i="15"/>
  <c r="I6" i="15"/>
  <c r="H6" i="15"/>
  <c r="K6" i="15"/>
  <c r="F6" i="15"/>
  <c r="J5" i="15"/>
  <c r="I5" i="15"/>
  <c r="H5" i="15"/>
  <c r="K5" i="15"/>
  <c r="F5" i="15"/>
  <c r="J4" i="15"/>
  <c r="I4" i="15"/>
  <c r="H4" i="15"/>
  <c r="K4" i="15"/>
  <c r="F4" i="15"/>
  <c r="A4" i="15"/>
  <c r="A5" i="15"/>
  <c r="A6" i="15"/>
  <c r="A7" i="15"/>
  <c r="A8" i="15"/>
  <c r="A9" i="15"/>
  <c r="A10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J3" i="15"/>
  <c r="J32" i="15"/>
  <c r="F65" i="15"/>
  <c r="I3" i="15"/>
  <c r="H3" i="15"/>
  <c r="F3" i="15"/>
  <c r="D30" i="24"/>
  <c r="F29" i="24"/>
  <c r="F30" i="24"/>
  <c r="G28" i="24"/>
  <c r="D29" i="24"/>
  <c r="F36" i="24"/>
  <c r="F62" i="24"/>
  <c r="C32" i="16"/>
  <c r="J33" i="16"/>
  <c r="J30" i="16"/>
  <c r="H30" i="16"/>
  <c r="B110" i="16"/>
  <c r="B109" i="16"/>
  <c r="B108" i="16"/>
  <c r="B107" i="16"/>
  <c r="B106" i="16"/>
  <c r="B111" i="16"/>
  <c r="B105" i="16"/>
  <c r="E125" i="16"/>
  <c r="E126" i="16"/>
  <c r="B125" i="16"/>
  <c r="A125" i="16"/>
  <c r="F111" i="16"/>
  <c r="F112" i="16"/>
  <c r="C111" i="16"/>
  <c r="C124" i="16"/>
  <c r="D124" i="16"/>
  <c r="D110" i="16"/>
  <c r="E110" i="16"/>
  <c r="C123" i="16"/>
  <c r="D123" i="16"/>
  <c r="D109" i="16"/>
  <c r="E109" i="16"/>
  <c r="C122" i="16"/>
  <c r="D122" i="16"/>
  <c r="D108" i="16"/>
  <c r="E108" i="16"/>
  <c r="C121" i="16"/>
  <c r="D121" i="16"/>
  <c r="D107" i="16"/>
  <c r="E107" i="16"/>
  <c r="C120" i="16"/>
  <c r="D120" i="16"/>
  <c r="D106" i="16"/>
  <c r="E106" i="16"/>
  <c r="C119" i="16"/>
  <c r="C125" i="16"/>
  <c r="D105" i="16"/>
  <c r="E105" i="16"/>
  <c r="F66" i="16"/>
  <c r="H68" i="16"/>
  <c r="H70" i="16"/>
  <c r="H71" i="16"/>
  <c r="H72" i="16"/>
  <c r="H73" i="16"/>
  <c r="H74" i="16"/>
  <c r="J31" i="16"/>
  <c r="I31" i="16"/>
  <c r="H31" i="16"/>
  <c r="E32" i="16"/>
  <c r="D32" i="16"/>
  <c r="H92" i="11"/>
  <c r="H560" i="13"/>
  <c r="H561" i="13"/>
  <c r="H562" i="13"/>
  <c r="H563" i="13"/>
  <c r="H564" i="13"/>
  <c r="H565" i="13"/>
  <c r="H566" i="13"/>
  <c r="H567" i="13"/>
  <c r="H568" i="13"/>
  <c r="H569" i="13"/>
  <c r="H570" i="13"/>
  <c r="H571" i="13"/>
  <c r="H572" i="13"/>
  <c r="H573" i="13"/>
  <c r="H574" i="13"/>
  <c r="H575" i="13"/>
  <c r="H576" i="13"/>
  <c r="H577" i="13"/>
  <c r="H578" i="13"/>
  <c r="H559" i="13"/>
  <c r="K45" i="16"/>
  <c r="E16" i="29"/>
  <c r="E12" i="27"/>
  <c r="E15" i="29"/>
  <c r="E11" i="27"/>
  <c r="E10" i="27"/>
  <c r="D9" i="29"/>
  <c r="E14" i="29"/>
  <c r="G2" i="24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B62" i="24"/>
  <c r="D62" i="24"/>
  <c r="B63" i="24"/>
  <c r="D63" i="24"/>
  <c r="D64" i="24"/>
  <c r="B65" i="24"/>
  <c r="D65" i="24"/>
  <c r="B66" i="24"/>
  <c r="D66" i="24"/>
  <c r="B67" i="24"/>
  <c r="D67" i="24"/>
  <c r="B68" i="24"/>
  <c r="D68" i="24"/>
  <c r="B69" i="24"/>
  <c r="D69" i="24"/>
  <c r="B70" i="24"/>
  <c r="D70" i="24"/>
  <c r="B72" i="24"/>
  <c r="D72" i="24"/>
  <c r="B73" i="24"/>
  <c r="D73" i="24"/>
  <c r="H73" i="24"/>
  <c r="B74" i="24"/>
  <c r="D74" i="24"/>
  <c r="H74" i="24"/>
  <c r="B75" i="24"/>
  <c r="D75" i="24"/>
  <c r="H75" i="24"/>
  <c r="B76" i="24"/>
  <c r="D76" i="24"/>
  <c r="H76" i="24"/>
  <c r="B77" i="24"/>
  <c r="D77" i="24"/>
  <c r="H77" i="24"/>
  <c r="B78" i="24"/>
  <c r="D78" i="24"/>
  <c r="H78" i="24"/>
  <c r="B79" i="24"/>
  <c r="D79" i="24"/>
  <c r="H79" i="24"/>
  <c r="B80" i="24"/>
  <c r="D80" i="24"/>
  <c r="H80" i="24"/>
  <c r="B81" i="24"/>
  <c r="D81" i="24"/>
  <c r="H81" i="24"/>
  <c r="B82" i="24"/>
  <c r="D82" i="24"/>
  <c r="H82" i="24"/>
  <c r="B83" i="24"/>
  <c r="D83" i="24"/>
  <c r="H83" i="24"/>
  <c r="B84" i="24"/>
  <c r="D84" i="24"/>
  <c r="H84" i="24"/>
  <c r="B85" i="24"/>
  <c r="D85" i="24"/>
  <c r="H85" i="24"/>
  <c r="B86" i="24"/>
  <c r="D86" i="24"/>
  <c r="H86" i="24"/>
  <c r="B87" i="24"/>
  <c r="D87" i="24"/>
  <c r="H87" i="24"/>
  <c r="B88" i="24"/>
  <c r="D88" i="24"/>
  <c r="B89" i="24"/>
  <c r="D89" i="24"/>
  <c r="B90" i="24"/>
  <c r="D90" i="24"/>
  <c r="B38" i="24"/>
  <c r="D38" i="24"/>
  <c r="B39" i="24"/>
  <c r="D39" i="24"/>
  <c r="B40" i="24"/>
  <c r="D40" i="24"/>
  <c r="B41" i="24"/>
  <c r="D41" i="24"/>
  <c r="B42" i="24"/>
  <c r="D42" i="24"/>
  <c r="B43" i="24"/>
  <c r="D43" i="24"/>
  <c r="B44" i="24"/>
  <c r="D44" i="24"/>
  <c r="B45" i="24"/>
  <c r="D45" i="24"/>
  <c r="B46" i="24"/>
  <c r="D46" i="24"/>
  <c r="B47" i="24"/>
  <c r="D47" i="24"/>
  <c r="B48" i="24"/>
  <c r="D48" i="24"/>
  <c r="B49" i="24"/>
  <c r="D49" i="24"/>
  <c r="B50" i="24"/>
  <c r="D50" i="24"/>
  <c r="B51" i="24"/>
  <c r="D51" i="24"/>
  <c r="B52" i="24"/>
  <c r="D52" i="24"/>
  <c r="B53" i="24"/>
  <c r="D53" i="24"/>
  <c r="B54" i="24"/>
  <c r="D54" i="24"/>
  <c r="B55" i="24"/>
  <c r="D55" i="24"/>
  <c r="B18" i="17"/>
  <c r="D18" i="17"/>
  <c r="B17" i="17"/>
  <c r="D17" i="17"/>
  <c r="D16" i="17"/>
  <c r="G14" i="29"/>
  <c r="G25" i="27"/>
  <c r="F68" i="11"/>
  <c r="D68" i="11"/>
  <c r="G68" i="11"/>
  <c r="B69" i="11"/>
  <c r="D69" i="11"/>
  <c r="B70" i="11"/>
  <c r="D70" i="11"/>
  <c r="B71" i="11"/>
  <c r="D71" i="11"/>
  <c r="B72" i="11"/>
  <c r="D72" i="11"/>
  <c r="B73" i="11"/>
  <c r="D73" i="11"/>
  <c r="B74" i="11"/>
  <c r="D74" i="11"/>
  <c r="B75" i="11"/>
  <c r="D75" i="11"/>
  <c r="B76" i="11"/>
  <c r="D76" i="11"/>
  <c r="B77" i="11"/>
  <c r="D77" i="11"/>
  <c r="B78" i="11"/>
  <c r="D78" i="11"/>
  <c r="B79" i="11"/>
  <c r="D79" i="11"/>
  <c r="B80" i="11"/>
  <c r="D80" i="11"/>
  <c r="B81" i="11"/>
  <c r="D81" i="11"/>
  <c r="B82" i="11"/>
  <c r="D82" i="11"/>
  <c r="B83" i="11"/>
  <c r="D83" i="11"/>
  <c r="B84" i="11"/>
  <c r="D84" i="11"/>
  <c r="B85" i="11"/>
  <c r="D85" i="11"/>
  <c r="B86" i="11"/>
  <c r="D86" i="11"/>
  <c r="B87" i="11"/>
  <c r="D87" i="11"/>
  <c r="B88" i="11"/>
  <c r="D88" i="11"/>
  <c r="B89" i="11"/>
  <c r="D89" i="11"/>
  <c r="B90" i="11"/>
  <c r="D90" i="11"/>
  <c r="B91" i="11"/>
  <c r="D91" i="11"/>
  <c r="H94" i="11"/>
  <c r="H96" i="11"/>
  <c r="H97" i="11"/>
  <c r="H98" i="11"/>
  <c r="H99" i="11"/>
  <c r="H100" i="11"/>
  <c r="H102" i="11"/>
  <c r="H104" i="11"/>
  <c r="H106" i="11"/>
  <c r="H108" i="11"/>
  <c r="H109" i="11"/>
  <c r="H110" i="11"/>
  <c r="H111" i="11"/>
  <c r="B112" i="11"/>
  <c r="D112" i="11"/>
  <c r="B111" i="11"/>
  <c r="D111" i="11"/>
  <c r="B110" i="11"/>
  <c r="D110" i="11"/>
  <c r="B109" i="11"/>
  <c r="D109" i="11"/>
  <c r="B61" i="11"/>
  <c r="D61" i="11"/>
  <c r="C29" i="11"/>
  <c r="H42" i="11"/>
  <c r="H63" i="11"/>
  <c r="B36" i="11"/>
  <c r="D36" i="11"/>
  <c r="B37" i="11"/>
  <c r="D37" i="11"/>
  <c r="B38" i="11"/>
  <c r="D38" i="11"/>
  <c r="B39" i="11"/>
  <c r="D39" i="11"/>
  <c r="B40" i="11"/>
  <c r="D40" i="11"/>
  <c r="B41" i="11"/>
  <c r="D41" i="11"/>
  <c r="B42" i="11"/>
  <c r="D42" i="11"/>
  <c r="B60" i="11"/>
  <c r="D60" i="11"/>
  <c r="B59" i="11"/>
  <c r="D59" i="11"/>
  <c r="B62" i="11"/>
  <c r="D62" i="11"/>
  <c r="B108" i="11"/>
  <c r="D108" i="11"/>
  <c r="B157" i="11"/>
  <c r="D157" i="11"/>
  <c r="F117" i="11"/>
  <c r="B117" i="11"/>
  <c r="D117" i="11"/>
  <c r="G117" i="11"/>
  <c r="J117" i="11"/>
  <c r="F118" i="11"/>
  <c r="B118" i="11"/>
  <c r="D118" i="11"/>
  <c r="B119" i="11"/>
  <c r="D119" i="11"/>
  <c r="B120" i="11"/>
  <c r="D120" i="11"/>
  <c r="B121" i="11"/>
  <c r="D121" i="11"/>
  <c r="B122" i="11"/>
  <c r="D122" i="11"/>
  <c r="B123" i="11"/>
  <c r="D123" i="11"/>
  <c r="B124" i="11"/>
  <c r="D124" i="11"/>
  <c r="B125" i="11"/>
  <c r="D125" i="11"/>
  <c r="B126" i="11"/>
  <c r="D126" i="11"/>
  <c r="B127" i="11"/>
  <c r="D127" i="11"/>
  <c r="B128" i="11"/>
  <c r="D128" i="11"/>
  <c r="B129" i="11"/>
  <c r="D129" i="11"/>
  <c r="B130" i="11"/>
  <c r="D130" i="11"/>
  <c r="B131" i="11"/>
  <c r="D131" i="11"/>
  <c r="B132" i="11"/>
  <c r="D132" i="11"/>
  <c r="B133" i="11"/>
  <c r="D133" i="11"/>
  <c r="B134" i="11"/>
  <c r="D134" i="11"/>
  <c r="B135" i="11"/>
  <c r="D135" i="11"/>
  <c r="B136" i="11"/>
  <c r="D136" i="11"/>
  <c r="B137" i="11"/>
  <c r="D137" i="11"/>
  <c r="B138" i="11"/>
  <c r="D138" i="11"/>
  <c r="B139" i="11"/>
  <c r="D139" i="11"/>
  <c r="B140" i="11"/>
  <c r="D140" i="11"/>
  <c r="H143" i="11"/>
  <c r="H147" i="11"/>
  <c r="H151" i="11"/>
  <c r="H155" i="11"/>
  <c r="B58" i="11"/>
  <c r="D58" i="11"/>
  <c r="B56" i="11"/>
  <c r="D56" i="11"/>
  <c r="B57" i="11"/>
  <c r="D57" i="11"/>
  <c r="B106" i="11"/>
  <c r="D106" i="11"/>
  <c r="B155" i="11"/>
  <c r="D155" i="11"/>
  <c r="B107" i="11"/>
  <c r="D107" i="11"/>
  <c r="B156" i="11"/>
  <c r="D156" i="11"/>
  <c r="F31" i="29"/>
  <c r="B105" i="11"/>
  <c r="D105" i="11"/>
  <c r="B154" i="11"/>
  <c r="D154" i="11"/>
  <c r="B104" i="11"/>
  <c r="D104" i="11"/>
  <c r="B153" i="11"/>
  <c r="D153" i="11"/>
  <c r="E37" i="27"/>
  <c r="B55" i="11"/>
  <c r="D55" i="11"/>
  <c r="B54" i="11"/>
  <c r="D54" i="11"/>
  <c r="C7" i="14"/>
  <c r="F15" i="14"/>
  <c r="H26" i="14"/>
  <c r="F15" i="12"/>
  <c r="H15" i="12"/>
  <c r="H17" i="12"/>
  <c r="H19" i="12"/>
  <c r="H21" i="12"/>
  <c r="H23" i="12"/>
  <c r="H25" i="12"/>
  <c r="H27" i="12"/>
  <c r="H29" i="12"/>
  <c r="H31" i="12"/>
  <c r="H33" i="12"/>
  <c r="C5" i="27"/>
  <c r="H35" i="12"/>
  <c r="E5" i="27"/>
  <c r="F41" i="12"/>
  <c r="H41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C7" i="12"/>
  <c r="B32" i="12"/>
  <c r="D32" i="12"/>
  <c r="E31" i="12"/>
  <c r="E32" i="12"/>
  <c r="B15" i="12"/>
  <c r="D15" i="12"/>
  <c r="G15" i="12"/>
  <c r="B58" i="12"/>
  <c r="D58" i="12"/>
  <c r="E56" i="12"/>
  <c r="E57" i="12"/>
  <c r="E58" i="12"/>
  <c r="E59" i="12"/>
  <c r="E61" i="12"/>
  <c r="B41" i="12"/>
  <c r="D41" i="12"/>
  <c r="G41" i="12"/>
  <c r="B33" i="12"/>
  <c r="D33" i="12"/>
  <c r="B59" i="12"/>
  <c r="D59" i="12"/>
  <c r="B34" i="12"/>
  <c r="D34" i="12"/>
  <c r="B60" i="12"/>
  <c r="D60" i="12"/>
  <c r="B35" i="12"/>
  <c r="D35" i="12"/>
  <c r="B61" i="12"/>
  <c r="D61" i="12"/>
  <c r="B98" i="12"/>
  <c r="D98" i="12"/>
  <c r="E96" i="12"/>
  <c r="E97" i="12"/>
  <c r="E98" i="12"/>
  <c r="F67" i="12"/>
  <c r="B67" i="12"/>
  <c r="D67" i="12"/>
  <c r="G67" i="12"/>
  <c r="D68" i="12"/>
  <c r="D69" i="12"/>
  <c r="D70" i="12"/>
  <c r="D71" i="12"/>
  <c r="D72" i="12"/>
  <c r="D73" i="12"/>
  <c r="D74" i="12"/>
  <c r="D75" i="12"/>
  <c r="D76" i="12"/>
  <c r="D77" i="12"/>
  <c r="B78" i="12"/>
  <c r="D78" i="12"/>
  <c r="B79" i="12"/>
  <c r="D79" i="12"/>
  <c r="B80" i="12"/>
  <c r="D80" i="12"/>
  <c r="B81" i="12"/>
  <c r="D81" i="12"/>
  <c r="H83" i="12"/>
  <c r="H85" i="12"/>
  <c r="H87" i="12"/>
  <c r="H89" i="12"/>
  <c r="H91" i="12"/>
  <c r="H93" i="12"/>
  <c r="H95" i="12"/>
  <c r="H97" i="12"/>
  <c r="B99" i="12"/>
  <c r="D99" i="12"/>
  <c r="B100" i="12"/>
  <c r="D100" i="12"/>
  <c r="H99" i="12"/>
  <c r="B101" i="12"/>
  <c r="D101" i="12"/>
  <c r="B39" i="14"/>
  <c r="D39" i="14"/>
  <c r="B15" i="14"/>
  <c r="D15" i="14"/>
  <c r="G15" i="14"/>
  <c r="D16" i="14"/>
  <c r="D17" i="14"/>
  <c r="B18" i="14"/>
  <c r="D18" i="14"/>
  <c r="B19" i="14"/>
  <c r="D19" i="14"/>
  <c r="B20" i="14"/>
  <c r="D20" i="14"/>
  <c r="B40" i="14"/>
  <c r="D40" i="14"/>
  <c r="B41" i="14"/>
  <c r="D41" i="14"/>
  <c r="B77" i="14"/>
  <c r="D77" i="14"/>
  <c r="E7" i="14"/>
  <c r="F46" i="14"/>
  <c r="D46" i="14"/>
  <c r="D47" i="14"/>
  <c r="D48" i="14"/>
  <c r="D49" i="14"/>
  <c r="D50" i="14"/>
  <c r="D51" i="14"/>
  <c r="D52" i="14"/>
  <c r="B78" i="14"/>
  <c r="D78" i="14"/>
  <c r="B79" i="14"/>
  <c r="D79" i="14"/>
  <c r="H3" i="16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B55" i="16"/>
  <c r="D55" i="16"/>
  <c r="B39" i="16"/>
  <c r="D39" i="16"/>
  <c r="B40" i="16"/>
  <c r="D40" i="16"/>
  <c r="B56" i="16"/>
  <c r="D56" i="16"/>
  <c r="B57" i="16"/>
  <c r="D57" i="16"/>
  <c r="B58" i="16"/>
  <c r="D58" i="16"/>
  <c r="B83" i="16"/>
  <c r="D83" i="16"/>
  <c r="B66" i="16"/>
  <c r="D66" i="16"/>
  <c r="J3" i="16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B67" i="16"/>
  <c r="D67" i="16"/>
  <c r="B68" i="16"/>
  <c r="D68" i="16"/>
  <c r="B84" i="16"/>
  <c r="D84" i="16"/>
  <c r="B85" i="16"/>
  <c r="D85" i="16"/>
  <c r="B86" i="16"/>
  <c r="D86" i="16"/>
  <c r="F10" i="10"/>
  <c r="H29" i="10"/>
  <c r="B25" i="27"/>
  <c r="H17" i="10"/>
  <c r="H19" i="10"/>
  <c r="H21" i="10"/>
  <c r="H22" i="10"/>
  <c r="H23" i="10"/>
  <c r="H24" i="10"/>
  <c r="H25" i="10"/>
  <c r="H26" i="10"/>
  <c r="H27" i="10"/>
  <c r="H28" i="10"/>
  <c r="B29" i="10"/>
  <c r="D29" i="10"/>
  <c r="E28" i="10"/>
  <c r="E29" i="10"/>
  <c r="B10" i="10"/>
  <c r="D10" i="10"/>
  <c r="G10" i="10"/>
  <c r="B11" i="10"/>
  <c r="D11" i="10"/>
  <c r="B12" i="10"/>
  <c r="D12" i="10"/>
  <c r="B13" i="10"/>
  <c r="D13" i="10"/>
  <c r="B14" i="10"/>
  <c r="D14" i="10"/>
  <c r="B15" i="10"/>
  <c r="D15" i="10"/>
  <c r="B30" i="10"/>
  <c r="D30" i="10"/>
  <c r="B31" i="10"/>
  <c r="D31" i="10"/>
  <c r="B32" i="10"/>
  <c r="D32" i="10"/>
  <c r="B70" i="10"/>
  <c r="D70" i="10"/>
  <c r="E69" i="10"/>
  <c r="E70" i="10"/>
  <c r="F42" i="10"/>
  <c r="H60" i="10"/>
  <c r="B42" i="10"/>
  <c r="D42" i="10"/>
  <c r="G42" i="10"/>
  <c r="D43" i="10"/>
  <c r="D44" i="10"/>
  <c r="D45" i="10"/>
  <c r="D46" i="10"/>
  <c r="D47" i="10"/>
  <c r="D48" i="10"/>
  <c r="D49" i="10"/>
  <c r="D50" i="10"/>
  <c r="D51" i="10"/>
  <c r="D52" i="10"/>
  <c r="B53" i="10"/>
  <c r="D53" i="10"/>
  <c r="B54" i="10"/>
  <c r="D54" i="10"/>
  <c r="B55" i="10"/>
  <c r="D55" i="10"/>
  <c r="B56" i="10"/>
  <c r="D56" i="10"/>
  <c r="H58" i="10"/>
  <c r="H62" i="10"/>
  <c r="H66" i="10"/>
  <c r="B71" i="10"/>
  <c r="D71" i="10"/>
  <c r="B72" i="10"/>
  <c r="D72" i="10"/>
  <c r="H71" i="10"/>
  <c r="B73" i="10"/>
  <c r="D73" i="10"/>
  <c r="C35" i="13"/>
  <c r="F51" i="13"/>
  <c r="B71" i="13"/>
  <c r="D71" i="13"/>
  <c r="E70" i="13"/>
  <c r="E71" i="13"/>
  <c r="B51" i="13"/>
  <c r="D51" i="13"/>
  <c r="G51" i="13"/>
  <c r="B52" i="13"/>
  <c r="D52" i="13"/>
  <c r="B72" i="13"/>
  <c r="D72" i="13"/>
  <c r="B73" i="13"/>
  <c r="D73" i="13"/>
  <c r="B110" i="13"/>
  <c r="D110" i="13"/>
  <c r="E109" i="13"/>
  <c r="E110" i="13"/>
  <c r="F78" i="13"/>
  <c r="B78" i="13"/>
  <c r="D78" i="13"/>
  <c r="G78" i="13"/>
  <c r="J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H91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B149" i="13"/>
  <c r="D149" i="13"/>
  <c r="E148" i="13"/>
  <c r="E149" i="13"/>
  <c r="F117" i="13"/>
  <c r="D125" i="13"/>
  <c r="B117" i="13"/>
  <c r="D117" i="13"/>
  <c r="G117" i="13"/>
  <c r="D118" i="13"/>
  <c r="D119" i="13"/>
  <c r="D120" i="13"/>
  <c r="D121" i="13"/>
  <c r="D122" i="13"/>
  <c r="D123" i="13"/>
  <c r="D124" i="13"/>
  <c r="D126" i="13"/>
  <c r="D127" i="13"/>
  <c r="D128" i="13"/>
  <c r="D129" i="13"/>
  <c r="D130" i="13"/>
  <c r="H130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5" i="13"/>
  <c r="H146" i="13"/>
  <c r="H147" i="13"/>
  <c r="H148" i="13"/>
  <c r="B187" i="13"/>
  <c r="D187" i="13"/>
  <c r="E186" i="13"/>
  <c r="E187" i="13"/>
  <c r="F156" i="13"/>
  <c r="B156" i="13"/>
  <c r="D156" i="13"/>
  <c r="G156" i="13"/>
  <c r="J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H168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B225" i="13"/>
  <c r="D225" i="13"/>
  <c r="E224" i="13"/>
  <c r="E225" i="13"/>
  <c r="F194" i="13"/>
  <c r="H206" i="13"/>
  <c r="B194" i="13"/>
  <c r="D194" i="13"/>
  <c r="G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H208" i="13"/>
  <c r="H212" i="13"/>
  <c r="H216" i="13"/>
  <c r="H220" i="13"/>
  <c r="H222" i="13"/>
  <c r="H224" i="13"/>
  <c r="B262" i="13"/>
  <c r="D262" i="13"/>
  <c r="E261" i="13"/>
  <c r="E262" i="13"/>
  <c r="F232" i="13"/>
  <c r="B232" i="13"/>
  <c r="D232" i="13"/>
  <c r="G232" i="13"/>
  <c r="J232" i="13"/>
  <c r="D233" i="13"/>
  <c r="D234" i="13"/>
  <c r="D235" i="13"/>
  <c r="D236" i="13"/>
  <c r="D237" i="13"/>
  <c r="D238" i="13"/>
  <c r="D239" i="13"/>
  <c r="D240" i="13"/>
  <c r="D241" i="13"/>
  <c r="D242" i="13"/>
  <c r="D243" i="13"/>
  <c r="H243" i="13"/>
  <c r="H245" i="13"/>
  <c r="H246" i="13"/>
  <c r="H247" i="13"/>
  <c r="H248" i="13"/>
  <c r="H249" i="13"/>
  <c r="H250" i="13"/>
  <c r="H251" i="13"/>
  <c r="H252" i="13"/>
  <c r="H253" i="13"/>
  <c r="H254" i="13"/>
  <c r="H255" i="13"/>
  <c r="H256" i="13"/>
  <c r="H257" i="13"/>
  <c r="H258" i="13"/>
  <c r="H259" i="13"/>
  <c r="H260" i="13"/>
  <c r="H261" i="13"/>
  <c r="B299" i="13"/>
  <c r="D299" i="13"/>
  <c r="E298" i="13"/>
  <c r="F269" i="13"/>
  <c r="H282" i="13"/>
  <c r="B269" i="13"/>
  <c r="D269" i="13"/>
  <c r="G269" i="13"/>
  <c r="D270" i="13"/>
  <c r="D271" i="13"/>
  <c r="D272" i="13"/>
  <c r="D273" i="13"/>
  <c r="D274" i="13"/>
  <c r="D275" i="13"/>
  <c r="D276" i="13"/>
  <c r="D277" i="13"/>
  <c r="D278" i="13"/>
  <c r="D279" i="13"/>
  <c r="D280" i="13"/>
  <c r="H280" i="13"/>
  <c r="H283" i="13"/>
  <c r="H285" i="13"/>
  <c r="H287" i="13"/>
  <c r="H289" i="13"/>
  <c r="H291" i="13"/>
  <c r="H293" i="13"/>
  <c r="H295" i="13"/>
  <c r="H297" i="13"/>
  <c r="B336" i="13"/>
  <c r="D336" i="13"/>
  <c r="E335" i="13"/>
  <c r="E336" i="13"/>
  <c r="F306" i="13"/>
  <c r="H319" i="13"/>
  <c r="B306" i="13"/>
  <c r="D306" i="13"/>
  <c r="G306" i="13"/>
  <c r="D307" i="13"/>
  <c r="D308" i="13"/>
  <c r="D309" i="13"/>
  <c r="D310" i="13"/>
  <c r="D311" i="13"/>
  <c r="D312" i="13"/>
  <c r="D313" i="13"/>
  <c r="D314" i="13"/>
  <c r="D315" i="13"/>
  <c r="D316" i="13"/>
  <c r="D317" i="13"/>
  <c r="H317" i="13"/>
  <c r="H320" i="13"/>
  <c r="H322" i="13"/>
  <c r="H324" i="13"/>
  <c r="H326" i="13"/>
  <c r="H328" i="13"/>
  <c r="H330" i="13"/>
  <c r="H332" i="13"/>
  <c r="H334" i="13"/>
  <c r="B367" i="13"/>
  <c r="D367" i="13"/>
  <c r="E366" i="13"/>
  <c r="F343" i="13"/>
  <c r="B343" i="13"/>
  <c r="D343" i="13"/>
  <c r="G343" i="13"/>
  <c r="J343" i="13"/>
  <c r="F344" i="13"/>
  <c r="D344" i="13"/>
  <c r="D345" i="13"/>
  <c r="D346" i="13"/>
  <c r="D347" i="13"/>
  <c r="D348" i="13"/>
  <c r="H348" i="13"/>
  <c r="H350" i="13"/>
  <c r="H351" i="13"/>
  <c r="H352" i="13"/>
  <c r="H353" i="13"/>
  <c r="H354" i="13"/>
  <c r="H355" i="13"/>
  <c r="H356" i="13"/>
  <c r="H357" i="13"/>
  <c r="H358" i="13"/>
  <c r="H359" i="13"/>
  <c r="H360" i="13"/>
  <c r="H361" i="13"/>
  <c r="H362" i="13"/>
  <c r="H363" i="13"/>
  <c r="H364" i="13"/>
  <c r="H365" i="13"/>
  <c r="H366" i="13"/>
  <c r="B397" i="13"/>
  <c r="D397" i="13"/>
  <c r="E396" i="13"/>
  <c r="E397" i="13"/>
  <c r="F373" i="13"/>
  <c r="H378" i="13"/>
  <c r="B373" i="13"/>
  <c r="D373" i="13"/>
  <c r="G373" i="13"/>
  <c r="J373" i="13"/>
  <c r="F374" i="13"/>
  <c r="D374" i="13"/>
  <c r="D375" i="13"/>
  <c r="D376" i="13"/>
  <c r="D377" i="13"/>
  <c r="D378" i="13"/>
  <c r="H380" i="13"/>
  <c r="H382" i="13"/>
  <c r="H384" i="13"/>
  <c r="H386" i="13"/>
  <c r="H388" i="13"/>
  <c r="H390" i="13"/>
  <c r="H392" i="13"/>
  <c r="H394" i="13"/>
  <c r="H396" i="13"/>
  <c r="B428" i="13"/>
  <c r="D428" i="13"/>
  <c r="E427" i="13"/>
  <c r="F404" i="13"/>
  <c r="H409" i="13"/>
  <c r="B404" i="13"/>
  <c r="D404" i="13"/>
  <c r="G404" i="13"/>
  <c r="J404" i="13"/>
  <c r="F405" i="13"/>
  <c r="D405" i="13"/>
  <c r="D406" i="13"/>
  <c r="D407" i="13"/>
  <c r="D408" i="13"/>
  <c r="D409" i="13"/>
  <c r="H411" i="13"/>
  <c r="H413" i="13"/>
  <c r="H415" i="13"/>
  <c r="H417" i="13"/>
  <c r="H419" i="13"/>
  <c r="H421" i="13"/>
  <c r="H423" i="13"/>
  <c r="H425" i="13"/>
  <c r="H427" i="13"/>
  <c r="B458" i="13"/>
  <c r="D458" i="13"/>
  <c r="E457" i="13"/>
  <c r="E458" i="13"/>
  <c r="E459" i="13"/>
  <c r="F435" i="13"/>
  <c r="H439" i="13"/>
  <c r="B435" i="13"/>
  <c r="D435" i="13"/>
  <c r="G435" i="13"/>
  <c r="J435" i="13"/>
  <c r="F436" i="13"/>
  <c r="G436" i="13"/>
  <c r="D436" i="13"/>
  <c r="D437" i="13"/>
  <c r="D438" i="13"/>
  <c r="D439" i="13"/>
  <c r="H441" i="13"/>
  <c r="H443" i="13"/>
  <c r="H445" i="13"/>
  <c r="H447" i="13"/>
  <c r="H449" i="13"/>
  <c r="H451" i="13"/>
  <c r="H453" i="13"/>
  <c r="H455" i="13"/>
  <c r="H457" i="13"/>
  <c r="B488" i="13"/>
  <c r="D488" i="13"/>
  <c r="E487" i="13"/>
  <c r="E488" i="13"/>
  <c r="F465" i="13"/>
  <c r="B465" i="13"/>
  <c r="D465" i="13"/>
  <c r="G465" i="13"/>
  <c r="J465" i="13"/>
  <c r="F466" i="13"/>
  <c r="D466" i="13"/>
  <c r="D467" i="13"/>
  <c r="D468" i="13"/>
  <c r="D469" i="13"/>
  <c r="H469" i="13"/>
  <c r="H471" i="13"/>
  <c r="H472" i="13"/>
  <c r="H473" i="13"/>
  <c r="H474" i="13"/>
  <c r="H475" i="13"/>
  <c r="H476" i="13"/>
  <c r="H477" i="13"/>
  <c r="H478" i="13"/>
  <c r="H479" i="13"/>
  <c r="H480" i="13"/>
  <c r="H481" i="13"/>
  <c r="H482" i="13"/>
  <c r="H483" i="13"/>
  <c r="H484" i="13"/>
  <c r="H485" i="13"/>
  <c r="H486" i="13"/>
  <c r="H487" i="13"/>
  <c r="B518" i="13"/>
  <c r="D518" i="13"/>
  <c r="E517" i="13"/>
  <c r="F495" i="13"/>
  <c r="B495" i="13"/>
  <c r="D495" i="13"/>
  <c r="G495" i="13"/>
  <c r="J495" i="13"/>
  <c r="F496" i="13"/>
  <c r="D496" i="13"/>
  <c r="D497" i="13"/>
  <c r="D498" i="13"/>
  <c r="D499" i="13"/>
  <c r="H499" i="13"/>
  <c r="H501" i="13"/>
  <c r="H502" i="13"/>
  <c r="H503" i="13"/>
  <c r="H504" i="13"/>
  <c r="H505" i="13"/>
  <c r="H506" i="13"/>
  <c r="H507" i="13"/>
  <c r="H508" i="13"/>
  <c r="H509" i="13"/>
  <c r="H510" i="13"/>
  <c r="H511" i="13"/>
  <c r="H512" i="13"/>
  <c r="H513" i="13"/>
  <c r="H514" i="13"/>
  <c r="H515" i="13"/>
  <c r="H516" i="13"/>
  <c r="H517" i="13"/>
  <c r="B547" i="13"/>
  <c r="D547" i="13"/>
  <c r="E546" i="13"/>
  <c r="E547" i="13"/>
  <c r="F525" i="13"/>
  <c r="D525" i="13"/>
  <c r="G525" i="13"/>
  <c r="D526" i="13"/>
  <c r="D527" i="13"/>
  <c r="D528" i="13"/>
  <c r="B111" i="13"/>
  <c r="D111" i="13"/>
  <c r="H110" i="13"/>
  <c r="B150" i="13"/>
  <c r="D150" i="13"/>
  <c r="H149" i="13"/>
  <c r="B188" i="13"/>
  <c r="D188" i="13"/>
  <c r="H187" i="13"/>
  <c r="B226" i="13"/>
  <c r="D226" i="13"/>
  <c r="H225" i="13"/>
  <c r="B263" i="13"/>
  <c r="D263" i="13"/>
  <c r="H262" i="13"/>
  <c r="B300" i="13"/>
  <c r="D300" i="13"/>
  <c r="H299" i="13"/>
  <c r="B337" i="13"/>
  <c r="D337" i="13"/>
  <c r="H336" i="13"/>
  <c r="B368" i="13"/>
  <c r="D368" i="13"/>
  <c r="H367" i="13"/>
  <c r="B398" i="13"/>
  <c r="D398" i="13"/>
  <c r="H397" i="13"/>
  <c r="B429" i="13"/>
  <c r="D429" i="13"/>
  <c r="H428" i="13"/>
  <c r="B459" i="13"/>
  <c r="D459" i="13"/>
  <c r="H458" i="13"/>
  <c r="B489" i="13"/>
  <c r="D489" i="13"/>
  <c r="H488" i="13"/>
  <c r="B519" i="13"/>
  <c r="D519" i="13"/>
  <c r="H518" i="13"/>
  <c r="B548" i="13"/>
  <c r="D548" i="13"/>
  <c r="D9" i="17"/>
  <c r="B19" i="17"/>
  <c r="D19" i="17"/>
  <c r="B20" i="17"/>
  <c r="D20" i="17"/>
  <c r="B21" i="17"/>
  <c r="D21" i="17"/>
  <c r="B46" i="11"/>
  <c r="D46" i="11"/>
  <c r="B47" i="11"/>
  <c r="D47" i="11"/>
  <c r="B48" i="11"/>
  <c r="D48" i="11"/>
  <c r="B49" i="11"/>
  <c r="D49" i="11"/>
  <c r="B63" i="13"/>
  <c r="D63" i="13"/>
  <c r="B21" i="10"/>
  <c r="D21" i="10"/>
  <c r="B47" i="16"/>
  <c r="D47" i="16"/>
  <c r="B31" i="14"/>
  <c r="D31" i="14"/>
  <c r="B24" i="12"/>
  <c r="D24" i="12"/>
  <c r="B50" i="12"/>
  <c r="D50" i="12"/>
  <c r="B62" i="10"/>
  <c r="D62" i="10"/>
  <c r="B96" i="11"/>
  <c r="D96" i="11"/>
  <c r="B90" i="12"/>
  <c r="D90" i="12"/>
  <c r="B102" i="13"/>
  <c r="D102" i="13"/>
  <c r="B141" i="13"/>
  <c r="D141" i="13"/>
  <c r="B179" i="13"/>
  <c r="D179" i="13"/>
  <c r="B217" i="13"/>
  <c r="D217" i="13"/>
  <c r="B254" i="13"/>
  <c r="D254" i="13"/>
  <c r="B291" i="13"/>
  <c r="D291" i="13"/>
  <c r="B328" i="13"/>
  <c r="D328" i="13"/>
  <c r="B359" i="13"/>
  <c r="D359" i="13"/>
  <c r="B389" i="13"/>
  <c r="D389" i="13"/>
  <c r="B420" i="13"/>
  <c r="D420" i="13"/>
  <c r="B450" i="13"/>
  <c r="D450" i="13"/>
  <c r="B480" i="13"/>
  <c r="D480" i="13"/>
  <c r="B510" i="13"/>
  <c r="D510" i="13"/>
  <c r="B539" i="13"/>
  <c r="D539" i="13"/>
  <c r="B69" i="14"/>
  <c r="D69" i="14"/>
  <c r="B75" i="16"/>
  <c r="D75" i="16"/>
  <c r="B64" i="13"/>
  <c r="D64" i="13"/>
  <c r="B22" i="10"/>
  <c r="D22" i="10"/>
  <c r="B48" i="16"/>
  <c r="D48" i="16"/>
  <c r="B32" i="14"/>
  <c r="D32" i="14"/>
  <c r="B25" i="12"/>
  <c r="D25" i="12"/>
  <c r="B51" i="12"/>
  <c r="D51" i="12"/>
  <c r="B63" i="10"/>
  <c r="D63" i="10"/>
  <c r="B97" i="11"/>
  <c r="D97" i="11"/>
  <c r="B91" i="12"/>
  <c r="D91" i="12"/>
  <c r="B103" i="13"/>
  <c r="D103" i="13"/>
  <c r="B142" i="13"/>
  <c r="D142" i="13"/>
  <c r="B180" i="13"/>
  <c r="D180" i="13"/>
  <c r="B218" i="13"/>
  <c r="D218" i="13"/>
  <c r="B255" i="13"/>
  <c r="D255" i="13"/>
  <c r="B292" i="13"/>
  <c r="D292" i="13"/>
  <c r="B329" i="13"/>
  <c r="D329" i="13"/>
  <c r="B360" i="13"/>
  <c r="D360" i="13"/>
  <c r="B390" i="13"/>
  <c r="D390" i="13"/>
  <c r="B421" i="13"/>
  <c r="D421" i="13"/>
  <c r="B451" i="13"/>
  <c r="D451" i="13"/>
  <c r="B481" i="13"/>
  <c r="D481" i="13"/>
  <c r="B511" i="13"/>
  <c r="D511" i="13"/>
  <c r="B540" i="13"/>
  <c r="D540" i="13"/>
  <c r="B70" i="14"/>
  <c r="D70" i="14"/>
  <c r="B76" i="16"/>
  <c r="D76" i="16"/>
  <c r="B65" i="13"/>
  <c r="D65" i="13"/>
  <c r="B23" i="10"/>
  <c r="D23" i="10"/>
  <c r="B49" i="16"/>
  <c r="D49" i="16"/>
  <c r="B33" i="14"/>
  <c r="D33" i="14"/>
  <c r="B26" i="12"/>
  <c r="D26" i="12"/>
  <c r="B52" i="12"/>
  <c r="D52" i="12"/>
  <c r="B64" i="10"/>
  <c r="D64" i="10"/>
  <c r="B98" i="11"/>
  <c r="D98" i="11"/>
  <c r="B92" i="12"/>
  <c r="D92" i="12"/>
  <c r="B104" i="13"/>
  <c r="D104" i="13"/>
  <c r="B143" i="13"/>
  <c r="D143" i="13"/>
  <c r="B181" i="13"/>
  <c r="D181" i="13"/>
  <c r="B219" i="13"/>
  <c r="D219" i="13"/>
  <c r="B256" i="13"/>
  <c r="D256" i="13"/>
  <c r="B293" i="13"/>
  <c r="D293" i="13"/>
  <c r="B330" i="13"/>
  <c r="D330" i="13"/>
  <c r="B361" i="13"/>
  <c r="D361" i="13"/>
  <c r="B391" i="13"/>
  <c r="D391" i="13"/>
  <c r="B422" i="13"/>
  <c r="D422" i="13"/>
  <c r="B452" i="13"/>
  <c r="D452" i="13"/>
  <c r="B482" i="13"/>
  <c r="D482" i="13"/>
  <c r="B512" i="13"/>
  <c r="D512" i="13"/>
  <c r="B541" i="13"/>
  <c r="D541" i="13"/>
  <c r="B71" i="14"/>
  <c r="D71" i="14"/>
  <c r="B77" i="16"/>
  <c r="D77" i="16"/>
  <c r="B66" i="13"/>
  <c r="D66" i="13"/>
  <c r="B24" i="10"/>
  <c r="D24" i="10"/>
  <c r="B50" i="16"/>
  <c r="D50" i="16"/>
  <c r="B34" i="14"/>
  <c r="D34" i="14"/>
  <c r="B27" i="12"/>
  <c r="D27" i="12"/>
  <c r="B53" i="12"/>
  <c r="D53" i="12"/>
  <c r="B65" i="10"/>
  <c r="D65" i="10"/>
  <c r="B99" i="11"/>
  <c r="D99" i="11"/>
  <c r="B93" i="12"/>
  <c r="D93" i="12"/>
  <c r="B105" i="13"/>
  <c r="D105" i="13"/>
  <c r="B144" i="13"/>
  <c r="D144" i="13"/>
  <c r="B182" i="13"/>
  <c r="D182" i="13"/>
  <c r="B220" i="13"/>
  <c r="D220" i="13"/>
  <c r="B257" i="13"/>
  <c r="D257" i="13"/>
  <c r="B294" i="13"/>
  <c r="D294" i="13"/>
  <c r="B331" i="13"/>
  <c r="D331" i="13"/>
  <c r="B362" i="13"/>
  <c r="D362" i="13"/>
  <c r="B392" i="13"/>
  <c r="D392" i="13"/>
  <c r="B423" i="13"/>
  <c r="D423" i="13"/>
  <c r="B453" i="13"/>
  <c r="D453" i="13"/>
  <c r="B483" i="13"/>
  <c r="D483" i="13"/>
  <c r="B513" i="13"/>
  <c r="D513" i="13"/>
  <c r="B542" i="13"/>
  <c r="D542" i="13"/>
  <c r="B72" i="14"/>
  <c r="D72" i="14"/>
  <c r="B78" i="16"/>
  <c r="D78" i="16"/>
  <c r="B38" i="17"/>
  <c r="D38" i="17"/>
  <c r="B79" i="16"/>
  <c r="D79" i="16"/>
  <c r="B80" i="16"/>
  <c r="D80" i="16"/>
  <c r="B81" i="16"/>
  <c r="D81" i="16"/>
  <c r="B82" i="16"/>
  <c r="D82" i="16"/>
  <c r="B73" i="14"/>
  <c r="D73" i="14"/>
  <c r="B74" i="14"/>
  <c r="D74" i="14"/>
  <c r="B75" i="14"/>
  <c r="D75" i="14"/>
  <c r="B76" i="14"/>
  <c r="D76" i="14"/>
  <c r="B106" i="13"/>
  <c r="D106" i="13"/>
  <c r="B145" i="13"/>
  <c r="D145" i="13"/>
  <c r="B183" i="13"/>
  <c r="D183" i="13"/>
  <c r="B221" i="13"/>
  <c r="D221" i="13"/>
  <c r="B258" i="13"/>
  <c r="D258" i="13"/>
  <c r="B295" i="13"/>
  <c r="D295" i="13"/>
  <c r="B332" i="13"/>
  <c r="D332" i="13"/>
  <c r="B363" i="13"/>
  <c r="D363" i="13"/>
  <c r="B393" i="13"/>
  <c r="D393" i="13"/>
  <c r="B424" i="13"/>
  <c r="D424" i="13"/>
  <c r="B454" i="13"/>
  <c r="D454" i="13"/>
  <c r="B484" i="13"/>
  <c r="D484" i="13"/>
  <c r="B514" i="13"/>
  <c r="D514" i="13"/>
  <c r="B543" i="13"/>
  <c r="D543" i="13"/>
  <c r="B107" i="13"/>
  <c r="D107" i="13"/>
  <c r="B146" i="13"/>
  <c r="D146" i="13"/>
  <c r="B184" i="13"/>
  <c r="D184" i="13"/>
  <c r="B222" i="13"/>
  <c r="D222" i="13"/>
  <c r="B259" i="13"/>
  <c r="D259" i="13"/>
  <c r="B296" i="13"/>
  <c r="D296" i="13"/>
  <c r="B333" i="13"/>
  <c r="D333" i="13"/>
  <c r="B364" i="13"/>
  <c r="D364" i="13"/>
  <c r="B394" i="13"/>
  <c r="D394" i="13"/>
  <c r="B425" i="13"/>
  <c r="D425" i="13"/>
  <c r="B455" i="13"/>
  <c r="D455" i="13"/>
  <c r="B485" i="13"/>
  <c r="D485" i="13"/>
  <c r="B515" i="13"/>
  <c r="D515" i="13"/>
  <c r="B544" i="13"/>
  <c r="D544" i="13"/>
  <c r="B108" i="13"/>
  <c r="D108" i="13"/>
  <c r="B147" i="13"/>
  <c r="D147" i="13"/>
  <c r="B185" i="13"/>
  <c r="D185" i="13"/>
  <c r="B223" i="13"/>
  <c r="D223" i="13"/>
  <c r="B260" i="13"/>
  <c r="D260" i="13"/>
  <c r="B297" i="13"/>
  <c r="D297" i="13"/>
  <c r="B334" i="13"/>
  <c r="D334" i="13"/>
  <c r="B365" i="13"/>
  <c r="D365" i="13"/>
  <c r="B395" i="13"/>
  <c r="D395" i="13"/>
  <c r="B426" i="13"/>
  <c r="D426" i="13"/>
  <c r="B456" i="13"/>
  <c r="D456" i="13"/>
  <c r="B486" i="13"/>
  <c r="D486" i="13"/>
  <c r="B516" i="13"/>
  <c r="D516" i="13"/>
  <c r="B545" i="13"/>
  <c r="D545" i="13"/>
  <c r="B109" i="13"/>
  <c r="D109" i="13"/>
  <c r="B148" i="13"/>
  <c r="D148" i="13"/>
  <c r="B186" i="13"/>
  <c r="D186" i="13"/>
  <c r="B224" i="13"/>
  <c r="D224" i="13"/>
  <c r="B261" i="13"/>
  <c r="D261" i="13"/>
  <c r="B298" i="13"/>
  <c r="D298" i="13"/>
  <c r="B335" i="13"/>
  <c r="D335" i="13"/>
  <c r="B366" i="13"/>
  <c r="D366" i="13"/>
  <c r="B396" i="13"/>
  <c r="D396" i="13"/>
  <c r="B427" i="13"/>
  <c r="D427" i="13"/>
  <c r="B457" i="13"/>
  <c r="D457" i="13"/>
  <c r="B487" i="13"/>
  <c r="D487" i="13"/>
  <c r="B517" i="13"/>
  <c r="D517" i="13"/>
  <c r="B546" i="13"/>
  <c r="D546" i="13"/>
  <c r="B94" i="12"/>
  <c r="D94" i="12"/>
  <c r="B95" i="12"/>
  <c r="D95" i="12"/>
  <c r="B96" i="12"/>
  <c r="D96" i="12"/>
  <c r="B97" i="12"/>
  <c r="D97" i="12"/>
  <c r="B100" i="11"/>
  <c r="D100" i="11"/>
  <c r="B149" i="11"/>
  <c r="D149" i="11"/>
  <c r="B101" i="11"/>
  <c r="D101" i="11"/>
  <c r="B150" i="11"/>
  <c r="D150" i="11"/>
  <c r="B102" i="11"/>
  <c r="D102" i="11"/>
  <c r="B151" i="11"/>
  <c r="D151" i="11"/>
  <c r="B103" i="11"/>
  <c r="D103" i="11"/>
  <c r="B152" i="11"/>
  <c r="D152" i="11"/>
  <c r="B66" i="10"/>
  <c r="D66" i="10"/>
  <c r="B67" i="10"/>
  <c r="D67" i="10"/>
  <c r="B68" i="10"/>
  <c r="D68" i="10"/>
  <c r="B69" i="10"/>
  <c r="D69" i="10"/>
  <c r="H111" i="13"/>
  <c r="H150" i="13"/>
  <c r="H188" i="13"/>
  <c r="H226" i="13"/>
  <c r="H263" i="13"/>
  <c r="H300" i="13"/>
  <c r="H337" i="13"/>
  <c r="H368" i="13"/>
  <c r="H398" i="13"/>
  <c r="H429" i="13"/>
  <c r="H459" i="13"/>
  <c r="H489" i="13"/>
  <c r="H519" i="13"/>
  <c r="H101" i="12"/>
  <c r="H73" i="10"/>
  <c r="B51" i="16"/>
  <c r="D51" i="16"/>
  <c r="B52" i="16"/>
  <c r="D52" i="16"/>
  <c r="B53" i="16"/>
  <c r="D53" i="16"/>
  <c r="B54" i="16"/>
  <c r="D54" i="16"/>
  <c r="B35" i="14"/>
  <c r="D35" i="14"/>
  <c r="B36" i="14"/>
  <c r="D36" i="14"/>
  <c r="B37" i="14"/>
  <c r="D37" i="14"/>
  <c r="B38" i="14"/>
  <c r="D38" i="14"/>
  <c r="B67" i="13"/>
  <c r="D67" i="13"/>
  <c r="B68" i="13"/>
  <c r="D68" i="13"/>
  <c r="B69" i="13"/>
  <c r="D69" i="13"/>
  <c r="B70" i="13"/>
  <c r="D70" i="13"/>
  <c r="B28" i="12"/>
  <c r="D28" i="12"/>
  <c r="B54" i="12"/>
  <c r="D54" i="12"/>
  <c r="B29" i="12"/>
  <c r="D29" i="12"/>
  <c r="B55" i="12"/>
  <c r="D55" i="12"/>
  <c r="B30" i="12"/>
  <c r="D30" i="12"/>
  <c r="B56" i="12"/>
  <c r="D56" i="12"/>
  <c r="B31" i="12"/>
  <c r="D31" i="12"/>
  <c r="B57" i="12"/>
  <c r="D57" i="12"/>
  <c r="B50" i="11"/>
  <c r="D50" i="11"/>
  <c r="B51" i="11"/>
  <c r="D51" i="11"/>
  <c r="B52" i="11"/>
  <c r="D52" i="11"/>
  <c r="B53" i="11"/>
  <c r="D53" i="11"/>
  <c r="B25" i="10"/>
  <c r="D25" i="10"/>
  <c r="B26" i="10"/>
  <c r="D26" i="10"/>
  <c r="B27" i="10"/>
  <c r="D27" i="10"/>
  <c r="B28" i="10"/>
  <c r="D28" i="10"/>
  <c r="E29" i="24"/>
  <c r="G2" i="17"/>
  <c r="G9" i="17"/>
  <c r="G3" i="17"/>
  <c r="G4" i="17"/>
  <c r="G5" i="17"/>
  <c r="G6" i="17"/>
  <c r="G7" i="17"/>
  <c r="G8" i="17"/>
  <c r="E9" i="17"/>
  <c r="F9" i="17"/>
  <c r="B22" i="17"/>
  <c r="D22" i="17"/>
  <c r="B23" i="17"/>
  <c r="D23" i="17"/>
  <c r="B24" i="17"/>
  <c r="D24" i="17"/>
  <c r="B25" i="17"/>
  <c r="D25" i="17"/>
  <c r="B26" i="17"/>
  <c r="D26" i="17"/>
  <c r="B27" i="17"/>
  <c r="D27" i="17"/>
  <c r="B28" i="17"/>
  <c r="D28" i="17"/>
  <c r="B29" i="17"/>
  <c r="D29" i="17"/>
  <c r="B30" i="17"/>
  <c r="D30" i="17"/>
  <c r="B31" i="17"/>
  <c r="D31" i="17"/>
  <c r="B32" i="17"/>
  <c r="D32" i="17"/>
  <c r="B33" i="17"/>
  <c r="D33" i="17"/>
  <c r="B34" i="17"/>
  <c r="D34" i="17"/>
  <c r="B35" i="17"/>
  <c r="D35" i="17"/>
  <c r="B36" i="17"/>
  <c r="D36" i="17"/>
  <c r="B37" i="17"/>
  <c r="D37" i="17"/>
  <c r="F3" i="16"/>
  <c r="I3" i="16"/>
  <c r="A4" i="16"/>
  <c r="F4" i="16"/>
  <c r="I4" i="16"/>
  <c r="K4" i="16"/>
  <c r="A5" i="16"/>
  <c r="A6" i="16"/>
  <c r="A7" i="16"/>
  <c r="A8" i="16"/>
  <c r="A9" i="16"/>
  <c r="A10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F5" i="16"/>
  <c r="I5" i="16"/>
  <c r="K5" i="16"/>
  <c r="F6" i="16"/>
  <c r="I6" i="16"/>
  <c r="K6" i="16"/>
  <c r="F7" i="16"/>
  <c r="I7" i="16"/>
  <c r="K7" i="16"/>
  <c r="F8" i="16"/>
  <c r="I8" i="16"/>
  <c r="K8" i="16"/>
  <c r="F9" i="16"/>
  <c r="I9" i="16"/>
  <c r="K9" i="16"/>
  <c r="F10" i="16"/>
  <c r="I10" i="16"/>
  <c r="K10" i="16"/>
  <c r="F11" i="16"/>
  <c r="I11" i="16"/>
  <c r="K11" i="16"/>
  <c r="F12" i="16"/>
  <c r="I12" i="16"/>
  <c r="K12" i="16"/>
  <c r="F13" i="16"/>
  <c r="I13" i="16"/>
  <c r="K13" i="16"/>
  <c r="F14" i="16"/>
  <c r="I14" i="16"/>
  <c r="K14" i="16"/>
  <c r="F15" i="16"/>
  <c r="I15" i="16"/>
  <c r="K15" i="16"/>
  <c r="F16" i="16"/>
  <c r="I16" i="16"/>
  <c r="K16" i="16"/>
  <c r="F17" i="16"/>
  <c r="I17" i="16"/>
  <c r="K17" i="16"/>
  <c r="F18" i="16"/>
  <c r="I18" i="16"/>
  <c r="K18" i="16"/>
  <c r="F19" i="16"/>
  <c r="I19" i="16"/>
  <c r="K19" i="16"/>
  <c r="F20" i="16"/>
  <c r="I20" i="16"/>
  <c r="K20" i="16"/>
  <c r="F21" i="16"/>
  <c r="I21" i="16"/>
  <c r="K21" i="16"/>
  <c r="F22" i="16"/>
  <c r="I22" i="16"/>
  <c r="K22" i="16"/>
  <c r="F23" i="16"/>
  <c r="I23" i="16"/>
  <c r="K23" i="16"/>
  <c r="F24" i="16"/>
  <c r="I24" i="16"/>
  <c r="K24" i="16"/>
  <c r="F25" i="16"/>
  <c r="I25" i="16"/>
  <c r="K25" i="16"/>
  <c r="F26" i="16"/>
  <c r="I26" i="16"/>
  <c r="K26" i="16"/>
  <c r="F27" i="16"/>
  <c r="I27" i="16"/>
  <c r="K27" i="16"/>
  <c r="F28" i="16"/>
  <c r="I28" i="16"/>
  <c r="K28" i="16"/>
  <c r="F29" i="16"/>
  <c r="I29" i="16"/>
  <c r="K29" i="16"/>
  <c r="F30" i="16"/>
  <c r="I30" i="16"/>
  <c r="K30" i="16"/>
  <c r="B42" i="16"/>
  <c r="D42" i="16"/>
  <c r="B43" i="16"/>
  <c r="D43" i="16"/>
  <c r="B44" i="16"/>
  <c r="D44" i="16"/>
  <c r="B45" i="16"/>
  <c r="D45" i="16"/>
  <c r="B46" i="16"/>
  <c r="D46" i="16"/>
  <c r="B59" i="16"/>
  <c r="D59" i="16"/>
  <c r="B60" i="16"/>
  <c r="D60" i="16"/>
  <c r="B61" i="16"/>
  <c r="D61" i="16"/>
  <c r="B70" i="16"/>
  <c r="D70" i="16"/>
  <c r="B71" i="16"/>
  <c r="D71" i="16"/>
  <c r="B72" i="16"/>
  <c r="D72" i="16"/>
  <c r="B73" i="16"/>
  <c r="D73" i="16"/>
  <c r="B74" i="16"/>
  <c r="D74" i="16"/>
  <c r="B87" i="16"/>
  <c r="D87" i="16"/>
  <c r="B88" i="16"/>
  <c r="D88" i="16"/>
  <c r="F4" i="14"/>
  <c r="F5" i="14"/>
  <c r="F7" i="14"/>
  <c r="F6" i="14"/>
  <c r="D7" i="14"/>
  <c r="D22" i="14"/>
  <c r="B23" i="14"/>
  <c r="D23" i="14"/>
  <c r="B24" i="14"/>
  <c r="D24" i="14"/>
  <c r="B25" i="14"/>
  <c r="D25" i="14"/>
  <c r="B26" i="14"/>
  <c r="D26" i="14"/>
  <c r="B27" i="14"/>
  <c r="D27" i="14"/>
  <c r="B28" i="14"/>
  <c r="D28" i="14"/>
  <c r="B29" i="14"/>
  <c r="D29" i="14"/>
  <c r="B30" i="14"/>
  <c r="D30" i="14"/>
  <c r="D53" i="14"/>
  <c r="D54" i="14"/>
  <c r="D55" i="14"/>
  <c r="D56" i="14"/>
  <c r="D57" i="14"/>
  <c r="D58" i="14"/>
  <c r="D60" i="14"/>
  <c r="B61" i="14"/>
  <c r="D61" i="14"/>
  <c r="B62" i="14"/>
  <c r="D62" i="14"/>
  <c r="B63" i="14"/>
  <c r="D63" i="14"/>
  <c r="B64" i="14"/>
  <c r="D64" i="14"/>
  <c r="B65" i="14"/>
  <c r="D65" i="14"/>
  <c r="B66" i="14"/>
  <c r="D66" i="14"/>
  <c r="B67" i="14"/>
  <c r="D67" i="14"/>
  <c r="B68" i="14"/>
  <c r="D68" i="14"/>
  <c r="F5" i="13"/>
  <c r="F6" i="13"/>
  <c r="F7" i="13"/>
  <c r="F8" i="13"/>
  <c r="F35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D35" i="13"/>
  <c r="E35" i="13"/>
  <c r="B42" i="13"/>
  <c r="D42" i="13"/>
  <c r="G42" i="13"/>
  <c r="F42" i="13"/>
  <c r="D43" i="13"/>
  <c r="H43" i="13"/>
  <c r="D45" i="13"/>
  <c r="D54" i="13"/>
  <c r="B55" i="13"/>
  <c r="D55" i="13"/>
  <c r="B56" i="13"/>
  <c r="D56" i="13"/>
  <c r="B57" i="13"/>
  <c r="D57" i="13"/>
  <c r="B58" i="13"/>
  <c r="D58" i="13"/>
  <c r="B59" i="13"/>
  <c r="D59" i="13"/>
  <c r="B60" i="13"/>
  <c r="D60" i="13"/>
  <c r="B61" i="13"/>
  <c r="D61" i="13"/>
  <c r="B62" i="13"/>
  <c r="D62" i="13"/>
  <c r="D93" i="13"/>
  <c r="B94" i="13"/>
  <c r="D94" i="13"/>
  <c r="B95" i="13"/>
  <c r="D95" i="13"/>
  <c r="B96" i="13"/>
  <c r="D96" i="13"/>
  <c r="B97" i="13"/>
  <c r="D97" i="13"/>
  <c r="B98" i="13"/>
  <c r="D98" i="13"/>
  <c r="B99" i="13"/>
  <c r="D99" i="13"/>
  <c r="B100" i="13"/>
  <c r="D100" i="13"/>
  <c r="B101" i="13"/>
  <c r="D101" i="13"/>
  <c r="B112" i="13"/>
  <c r="D112" i="13"/>
  <c r="D132" i="13"/>
  <c r="B133" i="13"/>
  <c r="D133" i="13"/>
  <c r="B134" i="13"/>
  <c r="D134" i="13"/>
  <c r="B135" i="13"/>
  <c r="D135" i="13"/>
  <c r="B136" i="13"/>
  <c r="D136" i="13"/>
  <c r="B137" i="13"/>
  <c r="D137" i="13"/>
  <c r="B138" i="13"/>
  <c r="D138" i="13"/>
  <c r="B139" i="13"/>
  <c r="D139" i="13"/>
  <c r="B140" i="13"/>
  <c r="D140" i="13"/>
  <c r="B151" i="13"/>
  <c r="D151" i="13"/>
  <c r="D170" i="13"/>
  <c r="B171" i="13"/>
  <c r="D171" i="13"/>
  <c r="B172" i="13"/>
  <c r="D172" i="13"/>
  <c r="B173" i="13"/>
  <c r="D173" i="13"/>
  <c r="B174" i="13"/>
  <c r="D174" i="13"/>
  <c r="B175" i="13"/>
  <c r="D175" i="13"/>
  <c r="B176" i="13"/>
  <c r="D176" i="13"/>
  <c r="B177" i="13"/>
  <c r="D177" i="13"/>
  <c r="B178" i="13"/>
  <c r="D178" i="13"/>
  <c r="B189" i="13"/>
  <c r="D189" i="13"/>
  <c r="D208" i="13"/>
  <c r="B209" i="13"/>
  <c r="D209" i="13"/>
  <c r="B210" i="13"/>
  <c r="D210" i="13"/>
  <c r="B211" i="13"/>
  <c r="D211" i="13"/>
  <c r="B212" i="13"/>
  <c r="D212" i="13"/>
  <c r="B213" i="13"/>
  <c r="D213" i="13"/>
  <c r="B214" i="13"/>
  <c r="D214" i="13"/>
  <c r="B215" i="13"/>
  <c r="D215" i="13"/>
  <c r="B216" i="13"/>
  <c r="D216" i="13"/>
  <c r="B227" i="13"/>
  <c r="D227" i="13"/>
  <c r="D245" i="13"/>
  <c r="B246" i="13"/>
  <c r="D246" i="13"/>
  <c r="B247" i="13"/>
  <c r="D247" i="13"/>
  <c r="B248" i="13"/>
  <c r="D248" i="13"/>
  <c r="B249" i="13"/>
  <c r="D249" i="13"/>
  <c r="B250" i="13"/>
  <c r="D250" i="13"/>
  <c r="B251" i="13"/>
  <c r="D251" i="13"/>
  <c r="B252" i="13"/>
  <c r="D252" i="13"/>
  <c r="B253" i="13"/>
  <c r="D253" i="13"/>
  <c r="B264" i="13"/>
  <c r="D264" i="13"/>
  <c r="D282" i="13"/>
  <c r="B283" i="13"/>
  <c r="D283" i="13"/>
  <c r="B284" i="13"/>
  <c r="D284" i="13"/>
  <c r="B285" i="13"/>
  <c r="D285" i="13"/>
  <c r="B286" i="13"/>
  <c r="D286" i="13"/>
  <c r="B287" i="13"/>
  <c r="D287" i="13"/>
  <c r="B288" i="13"/>
  <c r="D288" i="13"/>
  <c r="B289" i="13"/>
  <c r="D289" i="13"/>
  <c r="B290" i="13"/>
  <c r="D290" i="13"/>
  <c r="B301" i="13"/>
  <c r="D301" i="13"/>
  <c r="D319" i="13"/>
  <c r="B320" i="13"/>
  <c r="D320" i="13"/>
  <c r="B321" i="13"/>
  <c r="D321" i="13"/>
  <c r="B322" i="13"/>
  <c r="D322" i="13"/>
  <c r="B323" i="13"/>
  <c r="D323" i="13"/>
  <c r="B324" i="13"/>
  <c r="D324" i="13"/>
  <c r="B325" i="13"/>
  <c r="D325" i="13"/>
  <c r="B326" i="13"/>
  <c r="D326" i="13"/>
  <c r="B327" i="13"/>
  <c r="D327" i="13"/>
  <c r="B338" i="13"/>
  <c r="D338" i="13"/>
  <c r="D350" i="13"/>
  <c r="B351" i="13"/>
  <c r="D351" i="13"/>
  <c r="B352" i="13"/>
  <c r="D352" i="13"/>
  <c r="B353" i="13"/>
  <c r="D353" i="13"/>
  <c r="B354" i="13"/>
  <c r="D354" i="13"/>
  <c r="B355" i="13"/>
  <c r="D355" i="13"/>
  <c r="B356" i="13"/>
  <c r="D356" i="13"/>
  <c r="B357" i="13"/>
  <c r="D357" i="13"/>
  <c r="B358" i="13"/>
  <c r="D358" i="13"/>
  <c r="D380" i="13"/>
  <c r="B381" i="13"/>
  <c r="D381" i="13"/>
  <c r="B382" i="13"/>
  <c r="D382" i="13"/>
  <c r="B383" i="13"/>
  <c r="D383" i="13"/>
  <c r="B384" i="13"/>
  <c r="D384" i="13"/>
  <c r="B385" i="13"/>
  <c r="D385" i="13"/>
  <c r="B386" i="13"/>
  <c r="D386" i="13"/>
  <c r="B387" i="13"/>
  <c r="D387" i="13"/>
  <c r="B388" i="13"/>
  <c r="D388" i="13"/>
  <c r="B399" i="13"/>
  <c r="D399" i="13"/>
  <c r="D411" i="13"/>
  <c r="B412" i="13"/>
  <c r="D412" i="13"/>
  <c r="B413" i="13"/>
  <c r="D413" i="13"/>
  <c r="B414" i="13"/>
  <c r="D414" i="13"/>
  <c r="B415" i="13"/>
  <c r="D415" i="13"/>
  <c r="B416" i="13"/>
  <c r="D416" i="13"/>
  <c r="B417" i="13"/>
  <c r="D417" i="13"/>
  <c r="B418" i="13"/>
  <c r="D418" i="13"/>
  <c r="B419" i="13"/>
  <c r="D419" i="13"/>
  <c r="B430" i="13"/>
  <c r="D430" i="13"/>
  <c r="D441" i="13"/>
  <c r="B442" i="13"/>
  <c r="D442" i="13"/>
  <c r="B443" i="13"/>
  <c r="D443" i="13"/>
  <c r="B444" i="13"/>
  <c r="D444" i="13"/>
  <c r="B445" i="13"/>
  <c r="D445" i="13"/>
  <c r="B446" i="13"/>
  <c r="D446" i="13"/>
  <c r="B447" i="13"/>
  <c r="D447" i="13"/>
  <c r="B448" i="13"/>
  <c r="D448" i="13"/>
  <c r="B449" i="13"/>
  <c r="D449" i="13"/>
  <c r="B460" i="13"/>
  <c r="D460" i="13"/>
  <c r="D471" i="13"/>
  <c r="B472" i="13"/>
  <c r="D472" i="13"/>
  <c r="B473" i="13"/>
  <c r="D473" i="13"/>
  <c r="B474" i="13"/>
  <c r="D474" i="13"/>
  <c r="B475" i="13"/>
  <c r="D475" i="13"/>
  <c r="B476" i="13"/>
  <c r="D476" i="13"/>
  <c r="B477" i="13"/>
  <c r="D477" i="13"/>
  <c r="B478" i="13"/>
  <c r="D478" i="13"/>
  <c r="B479" i="13"/>
  <c r="D479" i="13"/>
  <c r="B490" i="13"/>
  <c r="D490" i="13"/>
  <c r="D501" i="13"/>
  <c r="B502" i="13"/>
  <c r="D502" i="13"/>
  <c r="B503" i="13"/>
  <c r="D503" i="13"/>
  <c r="B504" i="13"/>
  <c r="D504" i="13"/>
  <c r="B505" i="13"/>
  <c r="D505" i="13"/>
  <c r="B506" i="13"/>
  <c r="D506" i="13"/>
  <c r="B507" i="13"/>
  <c r="D507" i="13"/>
  <c r="B508" i="13"/>
  <c r="D508" i="13"/>
  <c r="B509" i="13"/>
  <c r="D509" i="13"/>
  <c r="B520" i="13"/>
  <c r="D520" i="13"/>
  <c r="D530" i="13"/>
  <c r="B531" i="13"/>
  <c r="D531" i="13"/>
  <c r="B532" i="13"/>
  <c r="D532" i="13"/>
  <c r="B533" i="13"/>
  <c r="D533" i="13"/>
  <c r="B534" i="13"/>
  <c r="D534" i="13"/>
  <c r="B535" i="13"/>
  <c r="D535" i="13"/>
  <c r="B536" i="13"/>
  <c r="D536" i="13"/>
  <c r="B537" i="13"/>
  <c r="D537" i="13"/>
  <c r="B538" i="13"/>
  <c r="D538" i="13"/>
  <c r="B549" i="13"/>
  <c r="D549" i="13"/>
  <c r="F4" i="12"/>
  <c r="F5" i="12"/>
  <c r="F6" i="12"/>
  <c r="F7" i="12"/>
  <c r="D7" i="12"/>
  <c r="E7" i="12"/>
  <c r="B17" i="12"/>
  <c r="D17" i="12"/>
  <c r="B18" i="12"/>
  <c r="D18" i="12"/>
  <c r="B19" i="12"/>
  <c r="D19" i="12"/>
  <c r="B20" i="12"/>
  <c r="D20" i="12"/>
  <c r="B21" i="12"/>
  <c r="D21" i="12"/>
  <c r="B22" i="12"/>
  <c r="D22" i="12"/>
  <c r="B23" i="12"/>
  <c r="D23" i="12"/>
  <c r="B36" i="12"/>
  <c r="D36" i="12"/>
  <c r="B43" i="12"/>
  <c r="D43" i="12"/>
  <c r="B44" i="12"/>
  <c r="D44" i="12"/>
  <c r="B45" i="12"/>
  <c r="D45" i="12"/>
  <c r="B46" i="12"/>
  <c r="D46" i="12"/>
  <c r="B47" i="12"/>
  <c r="D47" i="12"/>
  <c r="B48" i="12"/>
  <c r="D48" i="12"/>
  <c r="B49" i="12"/>
  <c r="D49" i="12"/>
  <c r="B62" i="12"/>
  <c r="D62" i="12"/>
  <c r="E62" i="12"/>
  <c r="B83" i="12"/>
  <c r="D83" i="12"/>
  <c r="B84" i="12"/>
  <c r="D84" i="12"/>
  <c r="B85" i="12"/>
  <c r="D85" i="12"/>
  <c r="B86" i="12"/>
  <c r="D86" i="12"/>
  <c r="B87" i="12"/>
  <c r="D87" i="12"/>
  <c r="B88" i="12"/>
  <c r="D88" i="12"/>
  <c r="B89" i="12"/>
  <c r="D89" i="12"/>
  <c r="B102" i="12"/>
  <c r="D102" i="12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D29" i="11"/>
  <c r="E29" i="11"/>
  <c r="D44" i="11"/>
  <c r="B45" i="11"/>
  <c r="D45" i="11"/>
  <c r="B92" i="11"/>
  <c r="D92" i="11"/>
  <c r="B94" i="11"/>
  <c r="D94" i="11"/>
  <c r="B95" i="11"/>
  <c r="D95" i="11"/>
  <c r="B142" i="11"/>
  <c r="D142" i="11"/>
  <c r="B143" i="11"/>
  <c r="D143" i="11"/>
  <c r="B144" i="11"/>
  <c r="D144" i="11"/>
  <c r="B145" i="11"/>
  <c r="D145" i="11"/>
  <c r="B146" i="11"/>
  <c r="D146" i="11"/>
  <c r="B147" i="11"/>
  <c r="D147" i="11"/>
  <c r="B148" i="11"/>
  <c r="D148" i="11"/>
  <c r="G3" i="10"/>
  <c r="B17" i="10"/>
  <c r="D17" i="10"/>
  <c r="B18" i="10"/>
  <c r="D18" i="10"/>
  <c r="B19" i="10"/>
  <c r="D19" i="10"/>
  <c r="B20" i="10"/>
  <c r="D20" i="10"/>
  <c r="B33" i="10"/>
  <c r="D33" i="10"/>
  <c r="H33" i="10"/>
  <c r="B14" i="29"/>
  <c r="B34" i="10"/>
  <c r="D34" i="10"/>
  <c r="H34" i="10"/>
  <c r="C14" i="29"/>
  <c r="B35" i="10"/>
  <c r="D35" i="10"/>
  <c r="H35" i="10"/>
  <c r="D14" i="29"/>
  <c r="B36" i="10"/>
  <c r="D36" i="10"/>
  <c r="B58" i="10"/>
  <c r="D58" i="10"/>
  <c r="B59" i="10"/>
  <c r="D59" i="10"/>
  <c r="B60" i="10"/>
  <c r="D60" i="10"/>
  <c r="B61" i="10"/>
  <c r="D61" i="10"/>
  <c r="B74" i="10"/>
  <c r="D74" i="10"/>
  <c r="H74" i="10"/>
  <c r="B75" i="10"/>
  <c r="D75" i="10"/>
  <c r="H75" i="10"/>
  <c r="B76" i="10"/>
  <c r="D76" i="10"/>
  <c r="H76" i="10"/>
  <c r="B77" i="10"/>
  <c r="D77" i="10"/>
  <c r="D35" i="27"/>
  <c r="E35" i="27"/>
  <c r="E36" i="27"/>
  <c r="F47" i="27"/>
  <c r="E518" i="13"/>
  <c r="E519" i="13"/>
  <c r="J525" i="13"/>
  <c r="F526" i="13"/>
  <c r="G526" i="13"/>
  <c r="J526" i="13"/>
  <c r="F527" i="13"/>
  <c r="E428" i="13"/>
  <c r="E429" i="13"/>
  <c r="E430" i="13"/>
  <c r="E367" i="13"/>
  <c r="E368" i="13"/>
  <c r="E299" i="13"/>
  <c r="E300" i="13"/>
  <c r="E301" i="13"/>
  <c r="J15" i="14"/>
  <c r="F16" i="14"/>
  <c r="E99" i="12"/>
  <c r="J42" i="10"/>
  <c r="F43" i="10"/>
  <c r="G46" i="14"/>
  <c r="J46" i="14"/>
  <c r="H35" i="17"/>
  <c r="H33" i="17"/>
  <c r="H31" i="17"/>
  <c r="H29" i="17"/>
  <c r="H27" i="17"/>
  <c r="H25" i="17"/>
  <c r="E29" i="29"/>
  <c r="H23" i="17"/>
  <c r="C29" i="29"/>
  <c r="H21" i="17"/>
  <c r="E45" i="27"/>
  <c r="H19" i="17"/>
  <c r="C45" i="27"/>
  <c r="H17" i="17"/>
  <c r="F16" i="17"/>
  <c r="G29" i="29"/>
  <c r="H34" i="17"/>
  <c r="H32" i="17"/>
  <c r="H30" i="17"/>
  <c r="H28" i="17"/>
  <c r="H26" i="17"/>
  <c r="H24" i="17"/>
  <c r="D29" i="29"/>
  <c r="H22" i="17"/>
  <c r="B29" i="29"/>
  <c r="H20" i="17"/>
  <c r="D45" i="27"/>
  <c r="H18" i="17"/>
  <c r="B45" i="27"/>
  <c r="F45" i="27"/>
  <c r="H16" i="17"/>
  <c r="G45" i="27"/>
  <c r="J10" i="10"/>
  <c r="F11" i="10"/>
  <c r="H58" i="14"/>
  <c r="H61" i="14"/>
  <c r="H63" i="14"/>
  <c r="H65" i="14"/>
  <c r="H67" i="14"/>
  <c r="H69" i="14"/>
  <c r="H71" i="14"/>
  <c r="H73" i="14"/>
  <c r="H75" i="14"/>
  <c r="H60" i="14"/>
  <c r="H62" i="14"/>
  <c r="H64" i="14"/>
  <c r="H66" i="14"/>
  <c r="H68" i="14"/>
  <c r="H70" i="14"/>
  <c r="H72" i="14"/>
  <c r="H74" i="14"/>
  <c r="H76" i="14"/>
  <c r="H77" i="14"/>
  <c r="H78" i="14"/>
  <c r="H45" i="13"/>
  <c r="G16" i="14"/>
  <c r="J67" i="12"/>
  <c r="F68" i="12"/>
  <c r="G5" i="27"/>
  <c r="G30" i="27"/>
  <c r="G19" i="29"/>
  <c r="G35" i="27"/>
  <c r="G10" i="27"/>
  <c r="H72" i="10"/>
  <c r="H70" i="10"/>
  <c r="H69" i="10"/>
  <c r="H67" i="10"/>
  <c r="H65" i="10"/>
  <c r="H63" i="10"/>
  <c r="H61" i="10"/>
  <c r="H59" i="10"/>
  <c r="H56" i="10"/>
  <c r="H100" i="12"/>
  <c r="H98" i="12"/>
  <c r="H96" i="12"/>
  <c r="H94" i="12"/>
  <c r="H92" i="12"/>
  <c r="H90" i="12"/>
  <c r="H88" i="12"/>
  <c r="H86" i="12"/>
  <c r="H84" i="12"/>
  <c r="H81" i="12"/>
  <c r="H34" i="12"/>
  <c r="D5" i="27"/>
  <c r="H32" i="12"/>
  <c r="B5" i="27"/>
  <c r="F5" i="27"/>
  <c r="H30" i="12"/>
  <c r="H28" i="12"/>
  <c r="H26" i="12"/>
  <c r="H24" i="12"/>
  <c r="H22" i="12"/>
  <c r="H20" i="12"/>
  <c r="H18" i="12"/>
  <c r="H39" i="14"/>
  <c r="B10" i="27"/>
  <c r="H37" i="14"/>
  <c r="H35" i="14"/>
  <c r="H33" i="14"/>
  <c r="H31" i="14"/>
  <c r="H29" i="14"/>
  <c r="H27" i="14"/>
  <c r="H25" i="14"/>
  <c r="H23" i="14"/>
  <c r="H156" i="11"/>
  <c r="H154" i="11"/>
  <c r="H152" i="11"/>
  <c r="H150" i="11"/>
  <c r="H148" i="11"/>
  <c r="H146" i="11"/>
  <c r="H144" i="11"/>
  <c r="F36" i="11"/>
  <c r="G36" i="11"/>
  <c r="J36" i="11"/>
  <c r="F37" i="11"/>
  <c r="H29" i="29"/>
  <c r="I29" i="29"/>
  <c r="H45" i="27"/>
  <c r="E101" i="12"/>
  <c r="H44" i="11"/>
  <c r="H52" i="11"/>
  <c r="H54" i="11"/>
  <c r="B30" i="27"/>
  <c r="H56" i="11"/>
  <c r="D30" i="27"/>
  <c r="H58" i="11"/>
  <c r="B19" i="29"/>
  <c r="H60" i="11"/>
  <c r="D19" i="29"/>
  <c r="H61" i="11"/>
  <c r="E19" i="29"/>
  <c r="H45" i="11"/>
  <c r="H47" i="11"/>
  <c r="H49" i="11"/>
  <c r="H51" i="11"/>
  <c r="H53" i="11"/>
  <c r="H55" i="11"/>
  <c r="C30" i="27"/>
  <c r="H57" i="11"/>
  <c r="E30" i="27"/>
  <c r="H59" i="11"/>
  <c r="C19" i="29"/>
  <c r="H62" i="11"/>
  <c r="F17" i="17"/>
  <c r="H530" i="13"/>
  <c r="H532" i="13"/>
  <c r="H534" i="13"/>
  <c r="H536" i="13"/>
  <c r="H538" i="13"/>
  <c r="H540" i="13"/>
  <c r="H542" i="13"/>
  <c r="H544" i="13"/>
  <c r="H546" i="13"/>
  <c r="H528" i="13"/>
  <c r="H531" i="13"/>
  <c r="H533" i="13"/>
  <c r="H535" i="13"/>
  <c r="H537" i="13"/>
  <c r="H539" i="13"/>
  <c r="H541" i="13"/>
  <c r="H543" i="13"/>
  <c r="H545" i="13"/>
  <c r="H547" i="13"/>
  <c r="H548" i="13"/>
  <c r="J436" i="13"/>
  <c r="F437" i="13"/>
  <c r="G437" i="13"/>
  <c r="I45" i="27"/>
  <c r="H5" i="27"/>
  <c r="I5" i="27"/>
  <c r="J16" i="14"/>
  <c r="F17" i="14"/>
  <c r="G17" i="14"/>
  <c r="F18" i="17"/>
  <c r="E102" i="12"/>
  <c r="J18" i="17"/>
  <c r="D37" i="27"/>
  <c r="G496" i="13"/>
  <c r="J496" i="13"/>
  <c r="F497" i="13"/>
  <c r="G405" i="13"/>
  <c r="J405" i="13"/>
  <c r="F406" i="13"/>
  <c r="F79" i="13"/>
  <c r="G79" i="13"/>
  <c r="J79" i="13"/>
  <c r="H72" i="13"/>
  <c r="C35" i="27"/>
  <c r="H56" i="13"/>
  <c r="H60" i="13"/>
  <c r="H64" i="13"/>
  <c r="H66" i="13"/>
  <c r="H68" i="13"/>
  <c r="H70" i="13"/>
  <c r="H65" i="13"/>
  <c r="H63" i="13"/>
  <c r="H61" i="13"/>
  <c r="H57" i="13"/>
  <c r="H52" i="13"/>
  <c r="H71" i="13"/>
  <c r="B35" i="27"/>
  <c r="H54" i="13"/>
  <c r="H58" i="13"/>
  <c r="H62" i="13"/>
  <c r="J51" i="13"/>
  <c r="F52" i="13"/>
  <c r="H69" i="13"/>
  <c r="H67" i="13"/>
  <c r="H59" i="13"/>
  <c r="H55" i="13"/>
  <c r="J437" i="13"/>
  <c r="F438" i="13"/>
  <c r="J42" i="13"/>
  <c r="F43" i="13"/>
  <c r="G374" i="13"/>
  <c r="J374" i="13"/>
  <c r="F375" i="13"/>
  <c r="G344" i="13"/>
  <c r="J344" i="13"/>
  <c r="F345" i="13"/>
  <c r="F233" i="13"/>
  <c r="G233" i="13"/>
  <c r="F157" i="13"/>
  <c r="G157" i="13"/>
  <c r="J157" i="13"/>
  <c r="E548" i="13"/>
  <c r="E549" i="13"/>
  <c r="E520" i="13"/>
  <c r="E489" i="13"/>
  <c r="E460" i="13"/>
  <c r="E398" i="13"/>
  <c r="E399" i="13"/>
  <c r="E337" i="13"/>
  <c r="E263" i="13"/>
  <c r="E226" i="13"/>
  <c r="E188" i="13"/>
  <c r="E150" i="13"/>
  <c r="E111" i="13"/>
  <c r="E72" i="13"/>
  <c r="E33" i="12"/>
  <c r="E34" i="12"/>
  <c r="E71" i="10"/>
  <c r="E30" i="10"/>
  <c r="E490" i="13"/>
  <c r="E338" i="13"/>
  <c r="E72" i="10"/>
  <c r="E73" i="10"/>
  <c r="E74" i="10"/>
  <c r="E75" i="10"/>
  <c r="E76" i="10"/>
  <c r="E77" i="10"/>
  <c r="E31" i="10"/>
  <c r="G40" i="27"/>
  <c r="G24" i="29"/>
  <c r="G27" i="24"/>
  <c r="D111" i="16"/>
  <c r="D119" i="16"/>
  <c r="D125" i="16"/>
  <c r="D126" i="16"/>
  <c r="I32" i="16"/>
  <c r="K3" i="16"/>
  <c r="F31" i="16"/>
  <c r="K31" i="16"/>
  <c r="K32" i="16"/>
  <c r="G66" i="16"/>
  <c r="J66" i="16"/>
  <c r="F67" i="16"/>
  <c r="E111" i="16"/>
  <c r="G67" i="16"/>
  <c r="E32" i="10"/>
  <c r="F158" i="13"/>
  <c r="G158" i="13"/>
  <c r="J158" i="13"/>
  <c r="J233" i="13"/>
  <c r="G43" i="13"/>
  <c r="G44" i="13"/>
  <c r="J43" i="13"/>
  <c r="G52" i="13"/>
  <c r="G53" i="13"/>
  <c r="G406" i="13"/>
  <c r="G345" i="13"/>
  <c r="J345" i="13"/>
  <c r="F346" i="13"/>
  <c r="G375" i="13"/>
  <c r="G438" i="13"/>
  <c r="J438" i="13"/>
  <c r="F439" i="13"/>
  <c r="F80" i="13"/>
  <c r="G80" i="13"/>
  <c r="J80" i="13"/>
  <c r="G497" i="13"/>
  <c r="J497" i="13"/>
  <c r="F498" i="13"/>
  <c r="F47" i="14"/>
  <c r="G47" i="14"/>
  <c r="J47" i="14"/>
  <c r="G527" i="13"/>
  <c r="J527" i="13"/>
  <c r="F528" i="13"/>
  <c r="G68" i="12"/>
  <c r="J68" i="12"/>
  <c r="F69" i="12"/>
  <c r="F29" i="29"/>
  <c r="G43" i="10"/>
  <c r="J117" i="13"/>
  <c r="F118" i="13"/>
  <c r="G466" i="13"/>
  <c r="G42" i="12"/>
  <c r="J41" i="12"/>
  <c r="H20" i="14"/>
  <c r="H24" i="14"/>
  <c r="H28" i="14"/>
  <c r="H32" i="14"/>
  <c r="H34" i="14"/>
  <c r="H36" i="14"/>
  <c r="H38" i="14"/>
  <c r="H40" i="14"/>
  <c r="C10" i="27"/>
  <c r="H142" i="11"/>
  <c r="H140" i="11"/>
  <c r="H145" i="11"/>
  <c r="H149" i="11"/>
  <c r="H153" i="11"/>
  <c r="H456" i="13"/>
  <c r="H454" i="13"/>
  <c r="H452" i="13"/>
  <c r="H450" i="13"/>
  <c r="H448" i="13"/>
  <c r="H446" i="13"/>
  <c r="H444" i="13"/>
  <c r="H442" i="13"/>
  <c r="H426" i="13"/>
  <c r="H424" i="13"/>
  <c r="H422" i="13"/>
  <c r="H420" i="13"/>
  <c r="H418" i="13"/>
  <c r="H416" i="13"/>
  <c r="H414" i="13"/>
  <c r="H412" i="13"/>
  <c r="H395" i="13"/>
  <c r="H393" i="13"/>
  <c r="H391" i="13"/>
  <c r="H389" i="13"/>
  <c r="H387" i="13"/>
  <c r="H385" i="13"/>
  <c r="H383" i="13"/>
  <c r="H381" i="13"/>
  <c r="H335" i="13"/>
  <c r="H333" i="13"/>
  <c r="H331" i="13"/>
  <c r="H329" i="13"/>
  <c r="H327" i="13"/>
  <c r="H325" i="13"/>
  <c r="H323" i="13"/>
  <c r="H321" i="13"/>
  <c r="H298" i="13"/>
  <c r="H296" i="13"/>
  <c r="H294" i="13"/>
  <c r="H292" i="13"/>
  <c r="H290" i="13"/>
  <c r="H288" i="13"/>
  <c r="H286" i="13"/>
  <c r="H284" i="13"/>
  <c r="H223" i="13"/>
  <c r="H221" i="13"/>
  <c r="H219" i="13"/>
  <c r="H217" i="13"/>
  <c r="H215" i="13"/>
  <c r="H213" i="13"/>
  <c r="H211" i="13"/>
  <c r="H209" i="13"/>
  <c r="H68" i="10"/>
  <c r="H64" i="10"/>
  <c r="H30" i="14"/>
  <c r="H22" i="14"/>
  <c r="J466" i="13"/>
  <c r="F467" i="13"/>
  <c r="E33" i="10"/>
  <c r="H10" i="27"/>
  <c r="I10" i="27"/>
  <c r="I45" i="12"/>
  <c r="I49" i="12"/>
  <c r="I53" i="12"/>
  <c r="I57" i="12"/>
  <c r="I44" i="12"/>
  <c r="I48" i="12"/>
  <c r="I52" i="12"/>
  <c r="I56" i="12"/>
  <c r="I58" i="12"/>
  <c r="I59" i="12"/>
  <c r="I60" i="12"/>
  <c r="I61" i="12"/>
  <c r="I43" i="12"/>
  <c r="I47" i="12"/>
  <c r="I51" i="12"/>
  <c r="I55" i="12"/>
  <c r="I41" i="12"/>
  <c r="F53" i="12"/>
  <c r="G53" i="12"/>
  <c r="I46" i="12"/>
  <c r="I50" i="12"/>
  <c r="I54" i="12"/>
  <c r="F60" i="12"/>
  <c r="G60" i="12"/>
  <c r="G118" i="13"/>
  <c r="J118" i="13"/>
  <c r="F119" i="13"/>
  <c r="J43" i="10"/>
  <c r="F44" i="10"/>
  <c r="J375" i="13"/>
  <c r="F376" i="13"/>
  <c r="J406" i="13"/>
  <c r="F407" i="13"/>
  <c r="J52" i="13"/>
  <c r="F234" i="13"/>
  <c r="G234" i="13"/>
  <c r="J234" i="13"/>
  <c r="J67" i="16"/>
  <c r="F68" i="16"/>
  <c r="F57" i="12"/>
  <c r="G57" i="12"/>
  <c r="F55" i="12"/>
  <c r="G55" i="12"/>
  <c r="F52" i="12"/>
  <c r="G52" i="12"/>
  <c r="F49" i="12"/>
  <c r="G49" i="12"/>
  <c r="F47" i="12"/>
  <c r="G47" i="12"/>
  <c r="F45" i="12"/>
  <c r="G45" i="12"/>
  <c r="F43" i="12"/>
  <c r="G43" i="12"/>
  <c r="F51" i="12"/>
  <c r="G51" i="12"/>
  <c r="E34" i="10"/>
  <c r="G68" i="16"/>
  <c r="G69" i="16"/>
  <c r="J68" i="16"/>
  <c r="G407" i="13"/>
  <c r="J407" i="13"/>
  <c r="F408" i="13"/>
  <c r="G44" i="10"/>
  <c r="J44" i="10"/>
  <c r="F45" i="10"/>
  <c r="F61" i="12"/>
  <c r="G61" i="12"/>
  <c r="F59" i="12"/>
  <c r="G59" i="12"/>
  <c r="F62" i="12"/>
  <c r="G62" i="12"/>
  <c r="F56" i="12"/>
  <c r="G56" i="12"/>
  <c r="F54" i="12"/>
  <c r="G54" i="12"/>
  <c r="F50" i="12"/>
  <c r="G50" i="12"/>
  <c r="F48" i="12"/>
  <c r="G48" i="12"/>
  <c r="F46" i="12"/>
  <c r="G46" i="12"/>
  <c r="F44" i="12"/>
  <c r="G44" i="12"/>
  <c r="G467" i="13"/>
  <c r="J467" i="13"/>
  <c r="F468" i="13"/>
  <c r="E35" i="10"/>
  <c r="E36" i="10"/>
  <c r="G468" i="13"/>
  <c r="J468" i="13"/>
  <c r="F469" i="13"/>
  <c r="G469" i="13"/>
  <c r="G470" i="13"/>
  <c r="J469" i="13"/>
  <c r="G408" i="13"/>
  <c r="J408" i="13"/>
  <c r="F409" i="13"/>
  <c r="I83" i="16"/>
  <c r="I71" i="16"/>
  <c r="I81" i="16"/>
  <c r="I86" i="16"/>
  <c r="I87" i="16"/>
  <c r="I75" i="16"/>
  <c r="I72" i="16"/>
  <c r="I73" i="16"/>
  <c r="I70" i="16"/>
  <c r="I78" i="16"/>
  <c r="I84" i="16"/>
  <c r="I88" i="16"/>
  <c r="I80" i="16"/>
  <c r="I85" i="16"/>
  <c r="I82" i="16"/>
  <c r="I79" i="16"/>
  <c r="J82" i="16"/>
  <c r="I76" i="16"/>
  <c r="I68" i="16"/>
  <c r="I74" i="16"/>
  <c r="I77" i="16"/>
  <c r="J69" i="12"/>
  <c r="F70" i="12"/>
  <c r="G69" i="12"/>
  <c r="J528" i="13"/>
  <c r="G528" i="13"/>
  <c r="G529" i="13"/>
  <c r="F48" i="14"/>
  <c r="G48" i="14"/>
  <c r="J48" i="14"/>
  <c r="J498" i="13"/>
  <c r="F499" i="13"/>
  <c r="G498" i="13"/>
  <c r="F81" i="13"/>
  <c r="G81" i="13"/>
  <c r="J81" i="13"/>
  <c r="G346" i="13"/>
  <c r="J346" i="13"/>
  <c r="F347" i="13"/>
  <c r="I69" i="13"/>
  <c r="I64" i="13"/>
  <c r="I54" i="13"/>
  <c r="I63" i="13"/>
  <c r="I57" i="13"/>
  <c r="I72" i="13"/>
  <c r="I68" i="13"/>
  <c r="I58" i="13"/>
  <c r="I55" i="13"/>
  <c r="I70" i="13"/>
  <c r="I61" i="13"/>
  <c r="I56" i="13"/>
  <c r="I59" i="13"/>
  <c r="I66" i="13"/>
  <c r="I62" i="13"/>
  <c r="I65" i="13"/>
  <c r="I60" i="13"/>
  <c r="I67" i="13"/>
  <c r="I52" i="13"/>
  <c r="F73" i="13"/>
  <c r="G73" i="13"/>
  <c r="I71" i="13"/>
  <c r="F64" i="13"/>
  <c r="G64" i="13"/>
  <c r="F67" i="13"/>
  <c r="G67" i="13"/>
  <c r="F68" i="13"/>
  <c r="G68" i="13"/>
  <c r="F60" i="13"/>
  <c r="G60" i="13"/>
  <c r="G45" i="10"/>
  <c r="J45" i="10"/>
  <c r="F46" i="10"/>
  <c r="F235" i="13"/>
  <c r="G235" i="13"/>
  <c r="J235" i="13"/>
  <c r="F236" i="13"/>
  <c r="G376" i="13"/>
  <c r="J376" i="13"/>
  <c r="F377" i="13"/>
  <c r="J119" i="13"/>
  <c r="F120" i="13"/>
  <c r="G119" i="13"/>
  <c r="G439" i="13"/>
  <c r="G440" i="13"/>
  <c r="I43" i="13"/>
  <c r="F45" i="13"/>
  <c r="G45" i="13"/>
  <c r="I45" i="13"/>
  <c r="F159" i="13"/>
  <c r="G159" i="13"/>
  <c r="J159" i="13"/>
  <c r="F58" i="12"/>
  <c r="G58" i="12"/>
  <c r="E35" i="12"/>
  <c r="F35" i="27"/>
  <c r="H35" i="27"/>
  <c r="I35" i="27"/>
  <c r="F19" i="17"/>
  <c r="G18" i="17"/>
  <c r="B46" i="27"/>
  <c r="J11" i="10"/>
  <c r="F12" i="10"/>
  <c r="G11" i="10"/>
  <c r="J17" i="14"/>
  <c r="F18" i="14"/>
  <c r="H50" i="11"/>
  <c r="H48" i="11"/>
  <c r="H46" i="11"/>
  <c r="F29" i="11"/>
  <c r="G16" i="12"/>
  <c r="J15" i="12"/>
  <c r="F32" i="16"/>
  <c r="H32" i="16"/>
  <c r="H33" i="16"/>
  <c r="J306" i="13"/>
  <c r="J269" i="13"/>
  <c r="H218" i="13"/>
  <c r="H214" i="13"/>
  <c r="H210" i="13"/>
  <c r="J194" i="13"/>
  <c r="H20" i="10"/>
  <c r="H18" i="10"/>
  <c r="H15" i="10"/>
  <c r="H32" i="10"/>
  <c r="E25" i="27"/>
  <c r="H31" i="10"/>
  <c r="D25" i="27"/>
  <c r="H30" i="10"/>
  <c r="C25" i="27"/>
  <c r="F25" i="27"/>
  <c r="J32" i="16"/>
  <c r="J377" i="13"/>
  <c r="F378" i="13"/>
  <c r="G377" i="13"/>
  <c r="G46" i="10"/>
  <c r="J46" i="10"/>
  <c r="F47" i="10"/>
  <c r="J347" i="13"/>
  <c r="F348" i="13"/>
  <c r="G347" i="13"/>
  <c r="G236" i="13"/>
  <c r="J236" i="13"/>
  <c r="F237" i="13"/>
  <c r="D36" i="27"/>
  <c r="F82" i="13"/>
  <c r="G82" i="13"/>
  <c r="J82" i="13"/>
  <c r="F49" i="14"/>
  <c r="G49" i="14"/>
  <c r="J49" i="14"/>
  <c r="G409" i="13"/>
  <c r="J409" i="13"/>
  <c r="H14" i="29"/>
  <c r="I14" i="29"/>
  <c r="H25" i="27"/>
  <c r="I25" i="27"/>
  <c r="F195" i="13"/>
  <c r="G195" i="13"/>
  <c r="J195" i="13"/>
  <c r="F270" i="13"/>
  <c r="G270" i="13"/>
  <c r="J270" i="13"/>
  <c r="E112" i="16"/>
  <c r="I17" i="12"/>
  <c r="I21" i="12"/>
  <c r="I25" i="12"/>
  <c r="I29" i="12"/>
  <c r="I15" i="12"/>
  <c r="I20" i="12"/>
  <c r="F34" i="12"/>
  <c r="G34" i="12"/>
  <c r="D6" i="27"/>
  <c r="I24" i="12"/>
  <c r="I28" i="12"/>
  <c r="I32" i="12"/>
  <c r="I34" i="12"/>
  <c r="F20" i="12"/>
  <c r="G20" i="12"/>
  <c r="F22" i="12"/>
  <c r="G22" i="12"/>
  <c r="I19" i="12"/>
  <c r="I23" i="12"/>
  <c r="I27" i="12"/>
  <c r="I31" i="12"/>
  <c r="I18" i="12"/>
  <c r="F35" i="12"/>
  <c r="G35" i="12"/>
  <c r="E6" i="27"/>
  <c r="I22" i="12"/>
  <c r="F33" i="12"/>
  <c r="G33" i="12"/>
  <c r="C6" i="27"/>
  <c r="I26" i="12"/>
  <c r="I30" i="12"/>
  <c r="I33" i="12"/>
  <c r="I35" i="12"/>
  <c r="F17" i="12"/>
  <c r="G17" i="12"/>
  <c r="F18" i="12"/>
  <c r="G18" i="12"/>
  <c r="F32" i="12"/>
  <c r="G32" i="12"/>
  <c r="B6" i="27"/>
  <c r="G18" i="14"/>
  <c r="J18" i="14"/>
  <c r="F19" i="14"/>
  <c r="F20" i="17"/>
  <c r="C46" i="27"/>
  <c r="E36" i="12"/>
  <c r="J439" i="13"/>
  <c r="F63" i="13"/>
  <c r="G63" i="13"/>
  <c r="F71" i="13"/>
  <c r="G71" i="13"/>
  <c r="B36" i="27"/>
  <c r="F57" i="13"/>
  <c r="G57" i="13"/>
  <c r="F72" i="13"/>
  <c r="G72" i="13"/>
  <c r="C36" i="27"/>
  <c r="F61" i="13"/>
  <c r="G61" i="13"/>
  <c r="F59" i="13"/>
  <c r="G59" i="13"/>
  <c r="F62" i="13"/>
  <c r="G62" i="13"/>
  <c r="F56" i="13"/>
  <c r="G56" i="13"/>
  <c r="F55" i="13"/>
  <c r="G55" i="13"/>
  <c r="F65" i="13"/>
  <c r="G65" i="13"/>
  <c r="I544" i="13"/>
  <c r="I539" i="13"/>
  <c r="I534" i="13"/>
  <c r="I528" i="13"/>
  <c r="I545" i="13"/>
  <c r="I540" i="13"/>
  <c r="I535" i="13"/>
  <c r="I530" i="13"/>
  <c r="F542" i="13"/>
  <c r="G542" i="13"/>
  <c r="I546" i="13"/>
  <c r="I541" i="13"/>
  <c r="I536" i="13"/>
  <c r="F546" i="13"/>
  <c r="G546" i="13"/>
  <c r="I531" i="13"/>
  <c r="I547" i="13"/>
  <c r="I542" i="13"/>
  <c r="I537" i="13"/>
  <c r="I532" i="13"/>
  <c r="I548" i="13"/>
  <c r="I543" i="13"/>
  <c r="F535" i="13"/>
  <c r="G535" i="13"/>
  <c r="I538" i="13"/>
  <c r="F541" i="13"/>
  <c r="G541" i="13"/>
  <c r="I533" i="13"/>
  <c r="F545" i="13"/>
  <c r="G545" i="13"/>
  <c r="F530" i="13"/>
  <c r="G530" i="13"/>
  <c r="F548" i="13"/>
  <c r="G548" i="13"/>
  <c r="F549" i="13"/>
  <c r="G549" i="13"/>
  <c r="F539" i="13"/>
  <c r="G539" i="13"/>
  <c r="F547" i="13"/>
  <c r="G547" i="13"/>
  <c r="F531" i="13"/>
  <c r="G531" i="13"/>
  <c r="J86" i="16"/>
  <c r="I478" i="13"/>
  <c r="I475" i="13"/>
  <c r="I472" i="13"/>
  <c r="I489" i="13"/>
  <c r="I481" i="13"/>
  <c r="I474" i="13"/>
  <c r="I471" i="13"/>
  <c r="F486" i="13"/>
  <c r="G486" i="13"/>
  <c r="I487" i="13"/>
  <c r="I484" i="13"/>
  <c r="I485" i="13"/>
  <c r="I469" i="13"/>
  <c r="F471" i="13"/>
  <c r="G471" i="13"/>
  <c r="I486" i="13"/>
  <c r="I483" i="13"/>
  <c r="I480" i="13"/>
  <c r="I477" i="13"/>
  <c r="I488" i="13"/>
  <c r="I482" i="13"/>
  <c r="I479" i="13"/>
  <c r="I476" i="13"/>
  <c r="I473" i="13"/>
  <c r="F487" i="13"/>
  <c r="G487" i="13"/>
  <c r="F475" i="13"/>
  <c r="G475" i="13"/>
  <c r="F478" i="13"/>
  <c r="G478" i="13"/>
  <c r="F477" i="13"/>
  <c r="G477" i="13"/>
  <c r="F473" i="13"/>
  <c r="G473" i="13"/>
  <c r="F480" i="13"/>
  <c r="G480" i="13"/>
  <c r="F474" i="13"/>
  <c r="G474" i="13"/>
  <c r="F307" i="13"/>
  <c r="G307" i="13"/>
  <c r="J307" i="13"/>
  <c r="H40" i="16"/>
  <c r="H30" i="27"/>
  <c r="H19" i="29"/>
  <c r="I19" i="29"/>
  <c r="G12" i="10"/>
  <c r="F160" i="13"/>
  <c r="G160" i="13"/>
  <c r="J160" i="13"/>
  <c r="F161" i="13"/>
  <c r="I450" i="13"/>
  <c r="I447" i="13"/>
  <c r="I439" i="13"/>
  <c r="I456" i="13"/>
  <c r="I453" i="13"/>
  <c r="I454" i="13"/>
  <c r="I451" i="13"/>
  <c r="I444" i="13"/>
  <c r="I441" i="13"/>
  <c r="I457" i="13"/>
  <c r="F442" i="13"/>
  <c r="G442" i="13"/>
  <c r="I442" i="13"/>
  <c r="F449" i="13"/>
  <c r="G449" i="13"/>
  <c r="I458" i="13"/>
  <c r="I455" i="13"/>
  <c r="I448" i="13"/>
  <c r="I445" i="13"/>
  <c r="F441" i="13"/>
  <c r="G441" i="13"/>
  <c r="F443" i="13"/>
  <c r="G443" i="13"/>
  <c r="I446" i="13"/>
  <c r="I443" i="13"/>
  <c r="F460" i="13"/>
  <c r="G460" i="13"/>
  <c r="I459" i="13"/>
  <c r="I452" i="13"/>
  <c r="I449" i="13"/>
  <c r="F447" i="13"/>
  <c r="G447" i="13"/>
  <c r="G120" i="13"/>
  <c r="J120" i="13"/>
  <c r="F121" i="13"/>
  <c r="F66" i="13"/>
  <c r="G66" i="13"/>
  <c r="F54" i="13"/>
  <c r="G54" i="13"/>
  <c r="F70" i="13"/>
  <c r="G70" i="13"/>
  <c r="F69" i="13"/>
  <c r="G69" i="13"/>
  <c r="F58" i="13"/>
  <c r="G58" i="13"/>
  <c r="G499" i="13"/>
  <c r="G500" i="13"/>
  <c r="J70" i="12"/>
  <c r="F71" i="12"/>
  <c r="G70" i="12"/>
  <c r="G72" i="16"/>
  <c r="G75" i="16"/>
  <c r="G71" i="16"/>
  <c r="G73" i="16"/>
  <c r="G76" i="16"/>
  <c r="G74" i="16"/>
  <c r="G70" i="16"/>
  <c r="G77" i="16"/>
  <c r="J78" i="16"/>
  <c r="G410" i="13"/>
  <c r="I499" i="13"/>
  <c r="I516" i="13"/>
  <c r="I513" i="13"/>
  <c r="I510" i="13"/>
  <c r="I507" i="13"/>
  <c r="I504" i="13"/>
  <c r="I501" i="13"/>
  <c r="F509" i="13"/>
  <c r="G509" i="13"/>
  <c r="I517" i="13"/>
  <c r="I514" i="13"/>
  <c r="I511" i="13"/>
  <c r="I508" i="13"/>
  <c r="I505" i="13"/>
  <c r="F501" i="13"/>
  <c r="G501" i="13"/>
  <c r="I502" i="13"/>
  <c r="F518" i="13"/>
  <c r="G518" i="13"/>
  <c r="I518" i="13"/>
  <c r="I515" i="13"/>
  <c r="I512" i="13"/>
  <c r="F502" i="13"/>
  <c r="G502" i="13"/>
  <c r="I509" i="13"/>
  <c r="I506" i="13"/>
  <c r="I503" i="13"/>
  <c r="F514" i="13"/>
  <c r="G514" i="13"/>
  <c r="I519" i="13"/>
  <c r="F513" i="13"/>
  <c r="G513" i="13"/>
  <c r="F517" i="13"/>
  <c r="G517" i="13"/>
  <c r="F511" i="13"/>
  <c r="G511" i="13"/>
  <c r="F505" i="13"/>
  <c r="G505" i="13"/>
  <c r="F515" i="13"/>
  <c r="G515" i="13"/>
  <c r="F516" i="13"/>
  <c r="G516" i="13"/>
  <c r="G121" i="13"/>
  <c r="J121" i="13"/>
  <c r="F122" i="13"/>
  <c r="F308" i="13"/>
  <c r="G308" i="13"/>
  <c r="J308" i="13"/>
  <c r="G19" i="14"/>
  <c r="J19" i="14"/>
  <c r="F20" i="14"/>
  <c r="F196" i="13"/>
  <c r="G196" i="13"/>
  <c r="J196" i="13"/>
  <c r="F271" i="13"/>
  <c r="G271" i="13"/>
  <c r="J271" i="13"/>
  <c r="J47" i="10"/>
  <c r="F48" i="10"/>
  <c r="G47" i="10"/>
  <c r="I416" i="13"/>
  <c r="I413" i="13"/>
  <c r="I428" i="13"/>
  <c r="I422" i="13"/>
  <c r="I419" i="13"/>
  <c r="I412" i="13"/>
  <c r="I429" i="13"/>
  <c r="I425" i="13"/>
  <c r="I418" i="13"/>
  <c r="I415" i="13"/>
  <c r="I424" i="13"/>
  <c r="I421" i="13"/>
  <c r="I414" i="13"/>
  <c r="I411" i="13"/>
  <c r="I427" i="13"/>
  <c r="I420" i="13"/>
  <c r="I417" i="13"/>
  <c r="I409" i="13"/>
  <c r="F426" i="13"/>
  <c r="G426" i="13"/>
  <c r="I426" i="13"/>
  <c r="I423" i="13"/>
  <c r="F427" i="13"/>
  <c r="G427" i="13"/>
  <c r="F419" i="13"/>
  <c r="G419" i="13"/>
  <c r="F412" i="13"/>
  <c r="G412" i="13"/>
  <c r="F430" i="13"/>
  <c r="G430" i="13"/>
  <c r="F420" i="13"/>
  <c r="G420" i="13"/>
  <c r="J499" i="13"/>
  <c r="F455" i="13"/>
  <c r="G455" i="13"/>
  <c r="F453" i="13"/>
  <c r="G453" i="13"/>
  <c r="F446" i="13"/>
  <c r="G446" i="13"/>
  <c r="F459" i="13"/>
  <c r="G459" i="13"/>
  <c r="F456" i="13"/>
  <c r="G456" i="13"/>
  <c r="F444" i="13"/>
  <c r="G444" i="13"/>
  <c r="F450" i="13"/>
  <c r="G450" i="13"/>
  <c r="J12" i="10"/>
  <c r="F13" i="10"/>
  <c r="G39" i="16"/>
  <c r="J39" i="16"/>
  <c r="F40" i="16"/>
  <c r="F472" i="13"/>
  <c r="G472" i="13"/>
  <c r="F479" i="13"/>
  <c r="G479" i="13"/>
  <c r="F489" i="13"/>
  <c r="G489" i="13"/>
  <c r="F490" i="13"/>
  <c r="G490" i="13"/>
  <c r="F485" i="13"/>
  <c r="G485" i="13"/>
  <c r="F476" i="13"/>
  <c r="G476" i="13"/>
  <c r="F482" i="13"/>
  <c r="G482" i="13"/>
  <c r="F488" i="13"/>
  <c r="G488" i="13"/>
  <c r="F543" i="13"/>
  <c r="G543" i="13"/>
  <c r="F538" i="13"/>
  <c r="G538" i="13"/>
  <c r="F532" i="13"/>
  <c r="G532" i="13"/>
  <c r="F536" i="13"/>
  <c r="G536" i="13"/>
  <c r="F544" i="13"/>
  <c r="G544" i="13"/>
  <c r="F534" i="13"/>
  <c r="G534" i="13"/>
  <c r="F533" i="13"/>
  <c r="G533" i="13"/>
  <c r="F540" i="13"/>
  <c r="G540" i="13"/>
  <c r="F537" i="13"/>
  <c r="G537" i="13"/>
  <c r="F36" i="27"/>
  <c r="F31" i="12"/>
  <c r="G31" i="12"/>
  <c r="F29" i="12"/>
  <c r="G29" i="12"/>
  <c r="F26" i="12"/>
  <c r="G26" i="12"/>
  <c r="F23" i="12"/>
  <c r="G23" i="12"/>
  <c r="F21" i="12"/>
  <c r="G21" i="12"/>
  <c r="F19" i="12"/>
  <c r="G19" i="12"/>
  <c r="F25" i="12"/>
  <c r="G25" i="12"/>
  <c r="G71" i="12"/>
  <c r="F445" i="13"/>
  <c r="G445" i="13"/>
  <c r="F457" i="13"/>
  <c r="G457" i="13"/>
  <c r="F452" i="13"/>
  <c r="G452" i="13"/>
  <c r="F458" i="13"/>
  <c r="G458" i="13"/>
  <c r="F448" i="13"/>
  <c r="G448" i="13"/>
  <c r="F451" i="13"/>
  <c r="G451" i="13"/>
  <c r="F454" i="13"/>
  <c r="G454" i="13"/>
  <c r="J161" i="13"/>
  <c r="F162" i="13"/>
  <c r="G161" i="13"/>
  <c r="H42" i="16"/>
  <c r="H43" i="16"/>
  <c r="H44" i="16"/>
  <c r="H45" i="16"/>
  <c r="H46" i="16"/>
  <c r="F484" i="13"/>
  <c r="G484" i="13"/>
  <c r="F483" i="13"/>
  <c r="G483" i="13"/>
  <c r="F481" i="13"/>
  <c r="G481" i="13"/>
  <c r="D46" i="27"/>
  <c r="F21" i="17"/>
  <c r="F6" i="27"/>
  <c r="F36" i="12"/>
  <c r="G36" i="12"/>
  <c r="F30" i="12"/>
  <c r="G30" i="12"/>
  <c r="F28" i="12"/>
  <c r="G28" i="12"/>
  <c r="F24" i="12"/>
  <c r="G24" i="12"/>
  <c r="F27" i="12"/>
  <c r="G27" i="12"/>
  <c r="F50" i="14"/>
  <c r="G50" i="14"/>
  <c r="J50" i="14"/>
  <c r="F83" i="13"/>
  <c r="G83" i="13"/>
  <c r="J237" i="13"/>
  <c r="F238" i="13"/>
  <c r="G237" i="13"/>
  <c r="G348" i="13"/>
  <c r="G349" i="13"/>
  <c r="G378" i="13"/>
  <c r="G379" i="13"/>
  <c r="F51" i="14"/>
  <c r="G51" i="14"/>
  <c r="J51" i="14"/>
  <c r="F52" i="14"/>
  <c r="J20" i="14"/>
  <c r="G20" i="14"/>
  <c r="G21" i="14"/>
  <c r="J238" i="13"/>
  <c r="F239" i="13"/>
  <c r="G238" i="13"/>
  <c r="J378" i="13"/>
  <c r="J348" i="13"/>
  <c r="J83" i="13"/>
  <c r="F84" i="13"/>
  <c r="J71" i="12"/>
  <c r="F72" i="12"/>
  <c r="J13" i="10"/>
  <c r="F14" i="10"/>
  <c r="G13" i="10"/>
  <c r="F417" i="13"/>
  <c r="G417" i="13"/>
  <c r="F411" i="13"/>
  <c r="G411" i="13"/>
  <c r="F424" i="13"/>
  <c r="G424" i="13"/>
  <c r="F425" i="13"/>
  <c r="G425" i="13"/>
  <c r="F418" i="13"/>
  <c r="G418" i="13"/>
  <c r="F423" i="13"/>
  <c r="G423" i="13"/>
  <c r="F422" i="13"/>
  <c r="G422" i="13"/>
  <c r="F414" i="13"/>
  <c r="G414" i="13"/>
  <c r="F415" i="13"/>
  <c r="G415" i="13"/>
  <c r="F428" i="13"/>
  <c r="G428" i="13"/>
  <c r="F519" i="13"/>
  <c r="G519" i="13"/>
  <c r="F506" i="13"/>
  <c r="G506" i="13"/>
  <c r="F507" i="13"/>
  <c r="G507" i="13"/>
  <c r="F504" i="13"/>
  <c r="G504" i="13"/>
  <c r="F512" i="13"/>
  <c r="G512" i="13"/>
  <c r="F510" i="13"/>
  <c r="G510" i="13"/>
  <c r="F508" i="13"/>
  <c r="G508" i="13"/>
  <c r="I389" i="13"/>
  <c r="I386" i="13"/>
  <c r="I378" i="13"/>
  <c r="I391" i="13"/>
  <c r="I388" i="13"/>
  <c r="I385" i="13"/>
  <c r="I382" i="13"/>
  <c r="I398" i="13"/>
  <c r="I395" i="13"/>
  <c r="I392" i="13"/>
  <c r="I381" i="13"/>
  <c r="F382" i="13"/>
  <c r="G382" i="13"/>
  <c r="I397" i="13"/>
  <c r="I394" i="13"/>
  <c r="I383" i="13"/>
  <c r="I380" i="13"/>
  <c r="F383" i="13"/>
  <c r="G383" i="13"/>
  <c r="I396" i="13"/>
  <c r="I393" i="13"/>
  <c r="I390" i="13"/>
  <c r="I387" i="13"/>
  <c r="F397" i="13"/>
  <c r="G397" i="13"/>
  <c r="I384" i="13"/>
  <c r="F390" i="13"/>
  <c r="G390" i="13"/>
  <c r="F380" i="13"/>
  <c r="G380" i="13"/>
  <c r="F384" i="13"/>
  <c r="G384" i="13"/>
  <c r="F381" i="13"/>
  <c r="G381" i="13"/>
  <c r="F394" i="13"/>
  <c r="G394" i="13"/>
  <c r="F398" i="13"/>
  <c r="G398" i="13"/>
  <c r="F389" i="13"/>
  <c r="G389" i="13"/>
  <c r="F387" i="13"/>
  <c r="G387" i="13"/>
  <c r="F388" i="13"/>
  <c r="G388" i="13"/>
  <c r="F386" i="13"/>
  <c r="G386" i="13"/>
  <c r="I363" i="13"/>
  <c r="I360" i="13"/>
  <c r="I357" i="13"/>
  <c r="I354" i="13"/>
  <c r="I351" i="13"/>
  <c r="I368" i="13"/>
  <c r="I364" i="13"/>
  <c r="I353" i="13"/>
  <c r="I350" i="13"/>
  <c r="F351" i="13"/>
  <c r="G351" i="13"/>
  <c r="I366" i="13"/>
  <c r="I355" i="13"/>
  <c r="I352" i="13"/>
  <c r="I367" i="13"/>
  <c r="I365" i="13"/>
  <c r="I362" i="13"/>
  <c r="I359" i="13"/>
  <c r="I356" i="13"/>
  <c r="I348" i="13"/>
  <c r="I361" i="13"/>
  <c r="I358" i="13"/>
  <c r="F363" i="13"/>
  <c r="G363" i="13"/>
  <c r="F359" i="13"/>
  <c r="G359" i="13"/>
  <c r="F352" i="13"/>
  <c r="G352" i="13"/>
  <c r="F357" i="13"/>
  <c r="G357" i="13"/>
  <c r="F365" i="13"/>
  <c r="G365" i="13"/>
  <c r="F368" i="13"/>
  <c r="G368" i="13"/>
  <c r="F360" i="13"/>
  <c r="G360" i="13"/>
  <c r="F350" i="13"/>
  <c r="G350" i="13"/>
  <c r="F358" i="13"/>
  <c r="G358" i="13"/>
  <c r="F22" i="17"/>
  <c r="E46" i="27"/>
  <c r="F46" i="27"/>
  <c r="J162" i="13"/>
  <c r="F163" i="13"/>
  <c r="G162" i="13"/>
  <c r="F413" i="13"/>
  <c r="G413" i="13"/>
  <c r="F421" i="13"/>
  <c r="G421" i="13"/>
  <c r="F416" i="13"/>
  <c r="G416" i="13"/>
  <c r="F429" i="13"/>
  <c r="G429" i="13"/>
  <c r="G48" i="10"/>
  <c r="F272" i="13"/>
  <c r="G272" i="13"/>
  <c r="J272" i="13"/>
  <c r="F273" i="13"/>
  <c r="F197" i="13"/>
  <c r="G197" i="13"/>
  <c r="J197" i="13"/>
  <c r="F309" i="13"/>
  <c r="G309" i="13"/>
  <c r="G122" i="13"/>
  <c r="J122" i="13"/>
  <c r="F123" i="13"/>
  <c r="F520" i="13"/>
  <c r="G520" i="13"/>
  <c r="F503" i="13"/>
  <c r="G503" i="13"/>
  <c r="G123" i="13"/>
  <c r="J123" i="13"/>
  <c r="F124" i="13"/>
  <c r="J273" i="13"/>
  <c r="F274" i="13"/>
  <c r="G273" i="13"/>
  <c r="F198" i="13"/>
  <c r="G198" i="13"/>
  <c r="J198" i="13"/>
  <c r="F199" i="13"/>
  <c r="G52" i="14"/>
  <c r="G59" i="14"/>
  <c r="J52" i="14"/>
  <c r="F53" i="14"/>
  <c r="J309" i="13"/>
  <c r="F310" i="13"/>
  <c r="J48" i="10"/>
  <c r="F49" i="10"/>
  <c r="F355" i="13"/>
  <c r="G355" i="13"/>
  <c r="F354" i="13"/>
  <c r="G354" i="13"/>
  <c r="F361" i="13"/>
  <c r="G361" i="13"/>
  <c r="F364" i="13"/>
  <c r="G364" i="13"/>
  <c r="F367" i="13"/>
  <c r="G367" i="13"/>
  <c r="F353" i="13"/>
  <c r="G353" i="13"/>
  <c r="F356" i="13"/>
  <c r="G356" i="13"/>
  <c r="F362" i="13"/>
  <c r="G362" i="13"/>
  <c r="F366" i="13"/>
  <c r="G366" i="13"/>
  <c r="F393" i="13"/>
  <c r="G393" i="13"/>
  <c r="F395" i="13"/>
  <c r="G395" i="13"/>
  <c r="F399" i="13"/>
  <c r="G399" i="13"/>
  <c r="F391" i="13"/>
  <c r="G391" i="13"/>
  <c r="F396" i="13"/>
  <c r="G396" i="13"/>
  <c r="F392" i="13"/>
  <c r="G392" i="13"/>
  <c r="F385" i="13"/>
  <c r="G385" i="13"/>
  <c r="G84" i="13"/>
  <c r="J84" i="13"/>
  <c r="F85" i="13"/>
  <c r="I22" i="14"/>
  <c r="I30" i="14"/>
  <c r="I38" i="14"/>
  <c r="F24" i="14"/>
  <c r="G24" i="14"/>
  <c r="I23" i="14"/>
  <c r="I31" i="14"/>
  <c r="I39" i="14"/>
  <c r="I28" i="14"/>
  <c r="I36" i="14"/>
  <c r="I25" i="14"/>
  <c r="I37" i="14"/>
  <c r="I26" i="14"/>
  <c r="I20" i="14"/>
  <c r="F40" i="14"/>
  <c r="G40" i="14"/>
  <c r="C11" i="27"/>
  <c r="I27" i="14"/>
  <c r="F22" i="14"/>
  <c r="G22" i="14"/>
  <c r="I40" i="14"/>
  <c r="F23" i="14"/>
  <c r="G23" i="14"/>
  <c r="I34" i="14"/>
  <c r="I35" i="14"/>
  <c r="I24" i="14"/>
  <c r="F25" i="14"/>
  <c r="G25" i="14"/>
  <c r="I32" i="14"/>
  <c r="I29" i="14"/>
  <c r="I33" i="14"/>
  <c r="F39" i="14"/>
  <c r="G39" i="14"/>
  <c r="B11" i="27"/>
  <c r="F30" i="14"/>
  <c r="G30" i="14"/>
  <c r="F37" i="14"/>
  <c r="G37" i="14"/>
  <c r="J163" i="13"/>
  <c r="F164" i="13"/>
  <c r="G163" i="13"/>
  <c r="B30" i="29"/>
  <c r="F23" i="17"/>
  <c r="J14" i="10"/>
  <c r="F15" i="10"/>
  <c r="G14" i="10"/>
  <c r="G72" i="12"/>
  <c r="J72" i="12"/>
  <c r="F73" i="12"/>
  <c r="G239" i="13"/>
  <c r="G85" i="13"/>
  <c r="J85" i="13"/>
  <c r="F86" i="13"/>
  <c r="J199" i="13"/>
  <c r="F200" i="13"/>
  <c r="G199" i="13"/>
  <c r="G124" i="13"/>
  <c r="J124" i="13"/>
  <c r="F125" i="13"/>
  <c r="J239" i="13"/>
  <c r="F240" i="13"/>
  <c r="F24" i="17"/>
  <c r="C30" i="29"/>
  <c r="F28" i="14"/>
  <c r="G28" i="14"/>
  <c r="F32" i="14"/>
  <c r="G32" i="14"/>
  <c r="F26" i="14"/>
  <c r="G26" i="14"/>
  <c r="F34" i="14"/>
  <c r="G34" i="14"/>
  <c r="F27" i="14"/>
  <c r="G27" i="14"/>
  <c r="F36" i="14"/>
  <c r="G36" i="14"/>
  <c r="F33" i="14"/>
  <c r="G33" i="14"/>
  <c r="F29" i="14"/>
  <c r="G29" i="14"/>
  <c r="F38" i="14"/>
  <c r="G38" i="14"/>
  <c r="G49" i="10"/>
  <c r="J49" i="10"/>
  <c r="F50" i="10"/>
  <c r="G310" i="13"/>
  <c r="J310" i="13"/>
  <c r="F311" i="13"/>
  <c r="I58" i="14"/>
  <c r="F65" i="14"/>
  <c r="G65" i="14"/>
  <c r="I65" i="14"/>
  <c r="I73" i="14"/>
  <c r="I60" i="14"/>
  <c r="I68" i="14"/>
  <c r="I76" i="14"/>
  <c r="I71" i="14"/>
  <c r="I66" i="14"/>
  <c r="I74" i="14"/>
  <c r="F61" i="14"/>
  <c r="G61" i="14"/>
  <c r="I67" i="14"/>
  <c r="I62" i="14"/>
  <c r="F60" i="14"/>
  <c r="G60" i="14"/>
  <c r="I61" i="14"/>
  <c r="I69" i="14"/>
  <c r="I77" i="14"/>
  <c r="I64" i="14"/>
  <c r="I72" i="14"/>
  <c r="F62" i="14"/>
  <c r="G62" i="14"/>
  <c r="I63" i="14"/>
  <c r="F75" i="14"/>
  <c r="G75" i="14"/>
  <c r="I78" i="14"/>
  <c r="F71" i="14"/>
  <c r="G71" i="14"/>
  <c r="I75" i="14"/>
  <c r="I70" i="14"/>
  <c r="F74" i="14"/>
  <c r="G74" i="14"/>
  <c r="F67" i="14"/>
  <c r="G67" i="14"/>
  <c r="F68" i="14"/>
  <c r="G68" i="14"/>
  <c r="F78" i="14"/>
  <c r="G78" i="14"/>
  <c r="C12" i="27"/>
  <c r="G73" i="12"/>
  <c r="J73" i="12"/>
  <c r="F74" i="12"/>
  <c r="G15" i="10"/>
  <c r="G16" i="10"/>
  <c r="G164" i="13"/>
  <c r="J164" i="13"/>
  <c r="F165" i="13"/>
  <c r="F11" i="27"/>
  <c r="F31" i="14"/>
  <c r="G31" i="14"/>
  <c r="F35" i="14"/>
  <c r="G35" i="14"/>
  <c r="F41" i="14"/>
  <c r="G41" i="14"/>
  <c r="G53" i="14"/>
  <c r="J53" i="14"/>
  <c r="F54" i="14"/>
  <c r="G274" i="13"/>
  <c r="J274" i="13"/>
  <c r="F275" i="13"/>
  <c r="J54" i="14"/>
  <c r="F55" i="14"/>
  <c r="G54" i="14"/>
  <c r="G125" i="13"/>
  <c r="J125" i="13"/>
  <c r="F126" i="13"/>
  <c r="G165" i="13"/>
  <c r="J165" i="13"/>
  <c r="F166" i="13"/>
  <c r="J74" i="12"/>
  <c r="F75" i="12"/>
  <c r="G74" i="12"/>
  <c r="G311" i="13"/>
  <c r="J311" i="13"/>
  <c r="F312" i="13"/>
  <c r="J86" i="13"/>
  <c r="F87" i="13"/>
  <c r="G86" i="13"/>
  <c r="J15" i="10"/>
  <c r="F72" i="14"/>
  <c r="G72" i="14"/>
  <c r="F64" i="14"/>
  <c r="G64" i="14"/>
  <c r="F73" i="14"/>
  <c r="G73" i="14"/>
  <c r="F70" i="14"/>
  <c r="G70" i="14"/>
  <c r="F69" i="14"/>
  <c r="G69" i="14"/>
  <c r="F66" i="14"/>
  <c r="G66" i="14"/>
  <c r="F76" i="14"/>
  <c r="G76" i="14"/>
  <c r="F63" i="14"/>
  <c r="G63" i="14"/>
  <c r="F77" i="14"/>
  <c r="G77" i="14"/>
  <c r="B12" i="27"/>
  <c r="F12" i="27"/>
  <c r="G240" i="13"/>
  <c r="J240" i="13"/>
  <c r="F241" i="13"/>
  <c r="G275" i="13"/>
  <c r="J275" i="13"/>
  <c r="F276" i="13"/>
  <c r="I15" i="10"/>
  <c r="I26" i="10"/>
  <c r="I19" i="10"/>
  <c r="F17" i="10"/>
  <c r="G17" i="10"/>
  <c r="I33" i="10"/>
  <c r="I34" i="10"/>
  <c r="I24" i="10"/>
  <c r="I23" i="10"/>
  <c r="I27" i="10"/>
  <c r="I30" i="10"/>
  <c r="I32" i="10"/>
  <c r="I18" i="10"/>
  <c r="I22" i="10"/>
  <c r="I17" i="10"/>
  <c r="F33" i="10"/>
  <c r="G33" i="10"/>
  <c r="B15" i="29"/>
  <c r="I25" i="10"/>
  <c r="I35" i="10"/>
  <c r="I20" i="10"/>
  <c r="F31" i="10"/>
  <c r="G31" i="10"/>
  <c r="D26" i="27"/>
  <c r="I28" i="10"/>
  <c r="I21" i="10"/>
  <c r="I29" i="10"/>
  <c r="I31" i="10"/>
  <c r="F24" i="10"/>
  <c r="G24" i="10"/>
  <c r="F28" i="10"/>
  <c r="G28" i="10"/>
  <c r="F21" i="10"/>
  <c r="G21" i="10"/>
  <c r="F79" i="14"/>
  <c r="G79" i="14"/>
  <c r="G50" i="10"/>
  <c r="J50" i="10"/>
  <c r="F51" i="10"/>
  <c r="D30" i="29"/>
  <c r="F25" i="17"/>
  <c r="J200" i="13"/>
  <c r="F201" i="13"/>
  <c r="G200" i="13"/>
  <c r="G51" i="10"/>
  <c r="J51" i="10"/>
  <c r="F52" i="10"/>
  <c r="J312" i="13"/>
  <c r="F313" i="13"/>
  <c r="G312" i="13"/>
  <c r="J166" i="13"/>
  <c r="F167" i="13"/>
  <c r="G166" i="13"/>
  <c r="G126" i="13"/>
  <c r="J126" i="13"/>
  <c r="F127" i="13"/>
  <c r="F27" i="10"/>
  <c r="G27" i="10"/>
  <c r="F35" i="10"/>
  <c r="G35" i="10"/>
  <c r="D15" i="29"/>
  <c r="F30" i="10"/>
  <c r="G30" i="10"/>
  <c r="C26" i="27"/>
  <c r="F19" i="10"/>
  <c r="G19" i="10"/>
  <c r="F32" i="10"/>
  <c r="G32" i="10"/>
  <c r="E26" i="27"/>
  <c r="F26" i="10"/>
  <c r="G26" i="10"/>
  <c r="F25" i="10"/>
  <c r="G25" i="10"/>
  <c r="F22" i="10"/>
  <c r="G22" i="10"/>
  <c r="F20" i="10"/>
  <c r="G20" i="10"/>
  <c r="G276" i="13"/>
  <c r="J276" i="13"/>
  <c r="F277" i="13"/>
  <c r="G201" i="13"/>
  <c r="J201" i="13"/>
  <c r="F202" i="13"/>
  <c r="F26" i="17"/>
  <c r="E30" i="29"/>
  <c r="F29" i="10"/>
  <c r="G29" i="10"/>
  <c r="B26" i="27"/>
  <c r="F34" i="10"/>
  <c r="G34" i="10"/>
  <c r="C15" i="29"/>
  <c r="F23" i="10"/>
  <c r="G23" i="10"/>
  <c r="F18" i="10"/>
  <c r="G18" i="10"/>
  <c r="G241" i="13"/>
  <c r="J241" i="13"/>
  <c r="F242" i="13"/>
  <c r="J87" i="13"/>
  <c r="F88" i="13"/>
  <c r="G87" i="13"/>
  <c r="G75" i="12"/>
  <c r="J75" i="12"/>
  <c r="F76" i="12"/>
  <c r="G55" i="14"/>
  <c r="J55" i="14"/>
  <c r="F56" i="14"/>
  <c r="J242" i="13"/>
  <c r="F243" i="13"/>
  <c r="G242" i="13"/>
  <c r="G76" i="12"/>
  <c r="J76" i="12"/>
  <c r="F77" i="12"/>
  <c r="J202" i="13"/>
  <c r="F203" i="13"/>
  <c r="G202" i="13"/>
  <c r="J277" i="13"/>
  <c r="F278" i="13"/>
  <c r="G277" i="13"/>
  <c r="J127" i="13"/>
  <c r="F128" i="13"/>
  <c r="G127" i="13"/>
  <c r="G52" i="10"/>
  <c r="J52" i="10"/>
  <c r="F53" i="10"/>
  <c r="J88" i="13"/>
  <c r="F89" i="13"/>
  <c r="G88" i="13"/>
  <c r="F15" i="29"/>
  <c r="G56" i="14"/>
  <c r="J56" i="14"/>
  <c r="F57" i="14"/>
  <c r="F27" i="17"/>
  <c r="G167" i="13"/>
  <c r="J167" i="13"/>
  <c r="F168" i="13"/>
  <c r="G313" i="13"/>
  <c r="J313" i="13"/>
  <c r="F314" i="13"/>
  <c r="G168" i="13"/>
  <c r="G169" i="13"/>
  <c r="G314" i="13"/>
  <c r="J314" i="13"/>
  <c r="F315" i="13"/>
  <c r="J53" i="10"/>
  <c r="F54" i="10"/>
  <c r="G53" i="10"/>
  <c r="J57" i="14"/>
  <c r="F58" i="14"/>
  <c r="G57" i="14"/>
  <c r="F28" i="17"/>
  <c r="G89" i="13"/>
  <c r="J89" i="13"/>
  <c r="F90" i="13"/>
  <c r="G128" i="13"/>
  <c r="G278" i="13"/>
  <c r="J278" i="13"/>
  <c r="F279" i="13"/>
  <c r="G203" i="13"/>
  <c r="J203" i="13"/>
  <c r="F204" i="13"/>
  <c r="J77" i="12"/>
  <c r="F78" i="12"/>
  <c r="G77" i="12"/>
  <c r="G243" i="13"/>
  <c r="G244" i="13"/>
  <c r="G204" i="13"/>
  <c r="J204" i="13"/>
  <c r="F205" i="13"/>
  <c r="G90" i="13"/>
  <c r="J90" i="13"/>
  <c r="F91" i="13"/>
  <c r="G315" i="13"/>
  <c r="J315" i="13"/>
  <c r="F316" i="13"/>
  <c r="G279" i="13"/>
  <c r="J279" i="13"/>
  <c r="F280" i="13"/>
  <c r="I254" i="13"/>
  <c r="I251" i="13"/>
  <c r="I243" i="13"/>
  <c r="F260" i="13"/>
  <c r="G260" i="13"/>
  <c r="I256" i="13"/>
  <c r="I253" i="13"/>
  <c r="I250" i="13"/>
  <c r="I263" i="13"/>
  <c r="I257" i="13"/>
  <c r="I255" i="13"/>
  <c r="I249" i="13"/>
  <c r="I246" i="13"/>
  <c r="I262" i="13"/>
  <c r="I259" i="13"/>
  <c r="I248" i="13"/>
  <c r="I245" i="13"/>
  <c r="F246" i="13"/>
  <c r="G246" i="13"/>
  <c r="I261" i="13"/>
  <c r="I247" i="13"/>
  <c r="I252" i="13"/>
  <c r="F249" i="13"/>
  <c r="G249" i="13"/>
  <c r="I258" i="13"/>
  <c r="I260" i="13"/>
  <c r="F261" i="13"/>
  <c r="G261" i="13"/>
  <c r="F248" i="13"/>
  <c r="G248" i="13"/>
  <c r="F254" i="13"/>
  <c r="G254" i="13"/>
  <c r="F264" i="13"/>
  <c r="G264" i="13"/>
  <c r="F259" i="13"/>
  <c r="G259" i="13"/>
  <c r="F255" i="13"/>
  <c r="G255" i="13"/>
  <c r="F252" i="13"/>
  <c r="G252" i="13"/>
  <c r="F257" i="13"/>
  <c r="G257" i="13"/>
  <c r="F29" i="17"/>
  <c r="J168" i="13"/>
  <c r="J78" i="12"/>
  <c r="F79" i="12"/>
  <c r="G78" i="12"/>
  <c r="J243" i="13"/>
  <c r="J128" i="13"/>
  <c r="F129" i="13"/>
  <c r="G58" i="14"/>
  <c r="J58" i="14"/>
  <c r="J54" i="10"/>
  <c r="F55" i="10"/>
  <c r="G54" i="10"/>
  <c r="I177" i="13"/>
  <c r="I174" i="13"/>
  <c r="I171" i="13"/>
  <c r="I187" i="13"/>
  <c r="I180" i="13"/>
  <c r="I181" i="13"/>
  <c r="I186" i="13"/>
  <c r="I173" i="13"/>
  <c r="I175" i="13"/>
  <c r="I184" i="13"/>
  <c r="I168" i="13"/>
  <c r="F182" i="13"/>
  <c r="G182" i="13"/>
  <c r="I185" i="13"/>
  <c r="I182" i="13"/>
  <c r="I179" i="13"/>
  <c r="I176" i="13"/>
  <c r="I188" i="13"/>
  <c r="I170" i="13"/>
  <c r="I172" i="13"/>
  <c r="F187" i="13"/>
  <c r="G187" i="13"/>
  <c r="F170" i="13"/>
  <c r="G170" i="13"/>
  <c r="I178" i="13"/>
  <c r="I183" i="13"/>
  <c r="F188" i="13"/>
  <c r="G188" i="13"/>
  <c r="F178" i="13"/>
  <c r="G178" i="13"/>
  <c r="F176" i="13"/>
  <c r="G176" i="13"/>
  <c r="F172" i="13"/>
  <c r="G172" i="13"/>
  <c r="F189" i="13"/>
  <c r="G189" i="13"/>
  <c r="F181" i="13"/>
  <c r="G181" i="13"/>
  <c r="F171" i="13"/>
  <c r="G171" i="13"/>
  <c r="F186" i="13"/>
  <c r="G186" i="13"/>
  <c r="F185" i="13"/>
  <c r="G185" i="13"/>
  <c r="J316" i="13"/>
  <c r="F317" i="13"/>
  <c r="G316" i="13"/>
  <c r="G205" i="13"/>
  <c r="J205" i="13"/>
  <c r="F206" i="13"/>
  <c r="G280" i="13"/>
  <c r="G281" i="13"/>
  <c r="J91" i="13"/>
  <c r="G91" i="13"/>
  <c r="J129" i="13"/>
  <c r="F130" i="13"/>
  <c r="G129" i="13"/>
  <c r="G79" i="12"/>
  <c r="J79" i="12"/>
  <c r="F80" i="12"/>
  <c r="F250" i="13"/>
  <c r="G250" i="13"/>
  <c r="F262" i="13"/>
  <c r="G262" i="13"/>
  <c r="F263" i="13"/>
  <c r="G263" i="13"/>
  <c r="F258" i="13"/>
  <c r="G258" i="13"/>
  <c r="F245" i="13"/>
  <c r="G245" i="13"/>
  <c r="F251" i="13"/>
  <c r="G251" i="13"/>
  <c r="F256" i="13"/>
  <c r="G256" i="13"/>
  <c r="F253" i="13"/>
  <c r="G253" i="13"/>
  <c r="F247" i="13"/>
  <c r="G247" i="13"/>
  <c r="G55" i="10"/>
  <c r="J55" i="10"/>
  <c r="F56" i="10"/>
  <c r="F177" i="13"/>
  <c r="G177" i="13"/>
  <c r="F174" i="13"/>
  <c r="G174" i="13"/>
  <c r="F179" i="13"/>
  <c r="G179" i="13"/>
  <c r="F180" i="13"/>
  <c r="G180" i="13"/>
  <c r="F183" i="13"/>
  <c r="G183" i="13"/>
  <c r="F184" i="13"/>
  <c r="G184" i="13"/>
  <c r="F175" i="13"/>
  <c r="G175" i="13"/>
  <c r="F173" i="13"/>
  <c r="G173" i="13"/>
  <c r="F30" i="17"/>
  <c r="G80" i="12"/>
  <c r="J80" i="12"/>
  <c r="F81" i="12"/>
  <c r="G206" i="13"/>
  <c r="G207" i="13"/>
  <c r="G56" i="10"/>
  <c r="G57" i="10"/>
  <c r="J130" i="13"/>
  <c r="G130" i="13"/>
  <c r="G131" i="13"/>
  <c r="I289" i="13"/>
  <c r="I286" i="13"/>
  <c r="F282" i="13"/>
  <c r="G282" i="13"/>
  <c r="I283" i="13"/>
  <c r="I300" i="13"/>
  <c r="I296" i="13"/>
  <c r="I298" i="13"/>
  <c r="I284" i="13"/>
  <c r="I285" i="13"/>
  <c r="F295" i="13"/>
  <c r="G295" i="13"/>
  <c r="I290" i="13"/>
  <c r="I292" i="13"/>
  <c r="F284" i="13"/>
  <c r="G284" i="13"/>
  <c r="F290" i="13"/>
  <c r="G290" i="13"/>
  <c r="F291" i="13"/>
  <c r="G291" i="13"/>
  <c r="I280" i="13"/>
  <c r="F292" i="13"/>
  <c r="G292" i="13"/>
  <c r="I297" i="13"/>
  <c r="I294" i="13"/>
  <c r="I291" i="13"/>
  <c r="F296" i="13"/>
  <c r="G296" i="13"/>
  <c r="I288" i="13"/>
  <c r="I293" i="13"/>
  <c r="I287" i="13"/>
  <c r="I299" i="13"/>
  <c r="I282" i="13"/>
  <c r="I295" i="13"/>
  <c r="F288" i="13"/>
  <c r="G288" i="13"/>
  <c r="F285" i="13"/>
  <c r="G285" i="13"/>
  <c r="F286" i="13"/>
  <c r="G286" i="13"/>
  <c r="F287" i="13"/>
  <c r="G287" i="13"/>
  <c r="F298" i="13"/>
  <c r="G298" i="13"/>
  <c r="F294" i="13"/>
  <c r="G294" i="13"/>
  <c r="F283" i="13"/>
  <c r="G283" i="13"/>
  <c r="G317" i="13"/>
  <c r="G318" i="13"/>
  <c r="F31" i="17"/>
  <c r="G30" i="17"/>
  <c r="G559" i="13"/>
  <c r="G92" i="13"/>
  <c r="J280" i="13"/>
  <c r="I107" i="13"/>
  <c r="I98" i="13"/>
  <c r="I106" i="13"/>
  <c r="I97" i="13"/>
  <c r="I110" i="13"/>
  <c r="I111" i="13"/>
  <c r="I96" i="13"/>
  <c r="I104" i="13"/>
  <c r="I95" i="13"/>
  <c r="I109" i="13"/>
  <c r="I99" i="13"/>
  <c r="I94" i="13"/>
  <c r="I102" i="13"/>
  <c r="I93" i="13"/>
  <c r="F99" i="13"/>
  <c r="G99" i="13"/>
  <c r="I105" i="13"/>
  <c r="I103" i="13"/>
  <c r="I91" i="13"/>
  <c r="I100" i="13"/>
  <c r="I108" i="13"/>
  <c r="I101" i="13"/>
  <c r="F93" i="13"/>
  <c r="G93" i="13"/>
  <c r="F97" i="13"/>
  <c r="G97" i="13"/>
  <c r="F106" i="13"/>
  <c r="G106" i="13"/>
  <c r="F104" i="13"/>
  <c r="G104" i="13"/>
  <c r="F105" i="13"/>
  <c r="G105" i="13"/>
  <c r="J317" i="13"/>
  <c r="F300" i="13"/>
  <c r="G300" i="13"/>
  <c r="F301" i="13"/>
  <c r="G301" i="13"/>
  <c r="F297" i="13"/>
  <c r="G297" i="13"/>
  <c r="F293" i="13"/>
  <c r="G293" i="13"/>
  <c r="F289" i="13"/>
  <c r="G289" i="13"/>
  <c r="F299" i="13"/>
  <c r="G299" i="13"/>
  <c r="I139" i="13"/>
  <c r="I147" i="13"/>
  <c r="I146" i="13"/>
  <c r="I140" i="13"/>
  <c r="I130" i="13"/>
  <c r="F132" i="13"/>
  <c r="G132" i="13"/>
  <c r="I133" i="13"/>
  <c r="F143" i="13"/>
  <c r="G143" i="13"/>
  <c r="I141" i="13"/>
  <c r="I134" i="13"/>
  <c r="I144" i="13"/>
  <c r="I143" i="13"/>
  <c r="I132" i="13"/>
  <c r="I148" i="13"/>
  <c r="I142" i="13"/>
  <c r="I136" i="13"/>
  <c r="I135" i="13"/>
  <c r="I138" i="13"/>
  <c r="I137" i="13"/>
  <c r="I145" i="13"/>
  <c r="I150" i="13"/>
  <c r="I149" i="13"/>
  <c r="F136" i="13"/>
  <c r="G136" i="13"/>
  <c r="F139" i="13"/>
  <c r="G139" i="13"/>
  <c r="F142" i="13"/>
  <c r="G142" i="13"/>
  <c r="F151" i="13"/>
  <c r="G151" i="13"/>
  <c r="F133" i="13"/>
  <c r="G133" i="13"/>
  <c r="F134" i="13"/>
  <c r="G134" i="13"/>
  <c r="I60" i="10"/>
  <c r="I68" i="10"/>
  <c r="I61" i="10"/>
  <c r="I67" i="10"/>
  <c r="I75" i="10"/>
  <c r="I58" i="10"/>
  <c r="I66" i="10"/>
  <c r="I56" i="10"/>
  <c r="I59" i="10"/>
  <c r="F74" i="10"/>
  <c r="G74" i="10"/>
  <c r="B16" i="29"/>
  <c r="I65" i="10"/>
  <c r="F60" i="10"/>
  <c r="G60" i="10"/>
  <c r="F58" i="10"/>
  <c r="G58" i="10"/>
  <c r="F61" i="10"/>
  <c r="G61" i="10"/>
  <c r="F59" i="10"/>
  <c r="G59" i="10"/>
  <c r="I64" i="10"/>
  <c r="I72" i="10"/>
  <c r="I63" i="10"/>
  <c r="I71" i="10"/>
  <c r="I76" i="10"/>
  <c r="I62" i="10"/>
  <c r="F73" i="10"/>
  <c r="G73" i="10"/>
  <c r="E27" i="27"/>
  <c r="I70" i="10"/>
  <c r="I69" i="10"/>
  <c r="F71" i="10"/>
  <c r="G71" i="10"/>
  <c r="C27" i="27"/>
  <c r="I73" i="10"/>
  <c r="F66" i="10"/>
  <c r="G66" i="10"/>
  <c r="I74" i="10"/>
  <c r="F70" i="10"/>
  <c r="G70" i="10"/>
  <c r="B27" i="27"/>
  <c r="F67" i="10"/>
  <c r="G67" i="10"/>
  <c r="F75" i="10"/>
  <c r="G75" i="10"/>
  <c r="C16" i="29"/>
  <c r="J206" i="13"/>
  <c r="G31" i="17"/>
  <c r="F32" i="17"/>
  <c r="I330" i="13"/>
  <c r="I327" i="13"/>
  <c r="I324" i="13"/>
  <c r="I321" i="13"/>
  <c r="I317" i="13"/>
  <c r="I334" i="13"/>
  <c r="I331" i="13"/>
  <c r="I328" i="13"/>
  <c r="I325" i="13"/>
  <c r="I337" i="13"/>
  <c r="I322" i="13"/>
  <c r="I319" i="13"/>
  <c r="F320" i="13"/>
  <c r="G320" i="13"/>
  <c r="I335" i="13"/>
  <c r="I332" i="13"/>
  <c r="I333" i="13"/>
  <c r="F319" i="13"/>
  <c r="G319" i="13"/>
  <c r="I326" i="13"/>
  <c r="I323" i="13"/>
  <c r="I320" i="13"/>
  <c r="I336" i="13"/>
  <c r="I329" i="13"/>
  <c r="F332" i="13"/>
  <c r="G332" i="13"/>
  <c r="F328" i="13"/>
  <c r="G328" i="13"/>
  <c r="F330" i="13"/>
  <c r="G330" i="13"/>
  <c r="F322" i="13"/>
  <c r="G322" i="13"/>
  <c r="F336" i="13"/>
  <c r="G336" i="13"/>
  <c r="F331" i="13"/>
  <c r="G331" i="13"/>
  <c r="F333" i="13"/>
  <c r="G333" i="13"/>
  <c r="I217" i="13"/>
  <c r="I214" i="13"/>
  <c r="I206" i="13"/>
  <c r="F223" i="13"/>
  <c r="G223" i="13"/>
  <c r="I223" i="13"/>
  <c r="I224" i="13"/>
  <c r="I221" i="13"/>
  <c r="I218" i="13"/>
  <c r="I211" i="13"/>
  <c r="I208" i="13"/>
  <c r="I220" i="13"/>
  <c r="I209" i="13"/>
  <c r="F226" i="13"/>
  <c r="G226" i="13"/>
  <c r="I226" i="13"/>
  <c r="I222" i="13"/>
  <c r="I215" i="13"/>
  <c r="I216" i="13"/>
  <c r="I213" i="13"/>
  <c r="I210" i="13"/>
  <c r="I225" i="13"/>
  <c r="I219" i="13"/>
  <c r="I212" i="13"/>
  <c r="F220" i="13"/>
  <c r="G220" i="13"/>
  <c r="F214" i="13"/>
  <c r="G214" i="13"/>
  <c r="F221" i="13"/>
  <c r="G221" i="13"/>
  <c r="F213" i="13"/>
  <c r="G213" i="13"/>
  <c r="F210" i="13"/>
  <c r="G210" i="13"/>
  <c r="F218" i="13"/>
  <c r="G218" i="13"/>
  <c r="F225" i="13"/>
  <c r="G225" i="13"/>
  <c r="F212" i="13"/>
  <c r="G212" i="13"/>
  <c r="F211" i="13"/>
  <c r="G211" i="13"/>
  <c r="G81" i="12"/>
  <c r="G82" i="12"/>
  <c r="J81" i="12"/>
  <c r="I86" i="12"/>
  <c r="I94" i="12"/>
  <c r="I83" i="12"/>
  <c r="F101" i="12"/>
  <c r="G101" i="12"/>
  <c r="E7" i="27"/>
  <c r="I89" i="12"/>
  <c r="I97" i="12"/>
  <c r="I101" i="12"/>
  <c r="F85" i="12"/>
  <c r="G85" i="12"/>
  <c r="I88" i="12"/>
  <c r="I96" i="12"/>
  <c r="I87" i="12"/>
  <c r="I95" i="12"/>
  <c r="F87" i="12"/>
  <c r="G87" i="12"/>
  <c r="I81" i="12"/>
  <c r="F93" i="12"/>
  <c r="G93" i="12"/>
  <c r="I90" i="12"/>
  <c r="F100" i="12"/>
  <c r="G100" i="12"/>
  <c r="D7" i="27"/>
  <c r="I98" i="12"/>
  <c r="F86" i="12"/>
  <c r="G86" i="12"/>
  <c r="I85" i="12"/>
  <c r="I93" i="12"/>
  <c r="I99" i="12"/>
  <c r="F83" i="12"/>
  <c r="G83" i="12"/>
  <c r="I84" i="12"/>
  <c r="I92" i="12"/>
  <c r="I100" i="12"/>
  <c r="I91" i="12"/>
  <c r="F102" i="12"/>
  <c r="G102" i="12"/>
  <c r="F96" i="12"/>
  <c r="G96" i="12"/>
  <c r="F98" i="12"/>
  <c r="G98" i="12"/>
  <c r="B7" i="27"/>
  <c r="F88" i="12"/>
  <c r="G88" i="12"/>
  <c r="F216" i="13"/>
  <c r="G216" i="13"/>
  <c r="F215" i="13"/>
  <c r="G215" i="13"/>
  <c r="F222" i="13"/>
  <c r="G222" i="13"/>
  <c r="F217" i="13"/>
  <c r="G217" i="13"/>
  <c r="F224" i="13"/>
  <c r="G224" i="13"/>
  <c r="F209" i="13"/>
  <c r="G209" i="13"/>
  <c r="F219" i="13"/>
  <c r="G219" i="13"/>
  <c r="F208" i="13"/>
  <c r="G208" i="13"/>
  <c r="F227" i="13"/>
  <c r="G227" i="13"/>
  <c r="F337" i="13"/>
  <c r="G337" i="13"/>
  <c r="F338" i="13"/>
  <c r="G338" i="13"/>
  <c r="F327" i="13"/>
  <c r="G327" i="13"/>
  <c r="F326" i="13"/>
  <c r="G326" i="13"/>
  <c r="F335" i="13"/>
  <c r="G335" i="13"/>
  <c r="F323" i="13"/>
  <c r="G323" i="13"/>
  <c r="F334" i="13"/>
  <c r="G334" i="13"/>
  <c r="F329" i="13"/>
  <c r="G329" i="13"/>
  <c r="F321" i="13"/>
  <c r="G321" i="13"/>
  <c r="F325" i="13"/>
  <c r="G325" i="13"/>
  <c r="F324" i="13"/>
  <c r="G324" i="13"/>
  <c r="F63" i="10"/>
  <c r="G63" i="10"/>
  <c r="F64" i="10"/>
  <c r="G64" i="10"/>
  <c r="F62" i="10"/>
  <c r="G62" i="10"/>
  <c r="F76" i="10"/>
  <c r="G76" i="10"/>
  <c r="D16" i="29"/>
  <c r="F72" i="10"/>
  <c r="G72" i="10"/>
  <c r="D27" i="27"/>
  <c r="F27" i="27"/>
  <c r="F146" i="13"/>
  <c r="G146" i="13"/>
  <c r="F140" i="13"/>
  <c r="G140" i="13"/>
  <c r="F145" i="13"/>
  <c r="G145" i="13"/>
  <c r="F149" i="13"/>
  <c r="G149" i="13"/>
  <c r="F147" i="13"/>
  <c r="G147" i="13"/>
  <c r="F144" i="13"/>
  <c r="G144" i="13"/>
  <c r="F137" i="13"/>
  <c r="G137" i="13"/>
  <c r="F135" i="13"/>
  <c r="G135" i="13"/>
  <c r="F141" i="13"/>
  <c r="G141" i="13"/>
  <c r="F111" i="13"/>
  <c r="G111" i="13"/>
  <c r="F102" i="13"/>
  <c r="G102" i="13"/>
  <c r="G569" i="13"/>
  <c r="F101" i="13"/>
  <c r="G101" i="13"/>
  <c r="G568" i="13"/>
  <c r="G560" i="13"/>
  <c r="I575" i="13"/>
  <c r="I559" i="13"/>
  <c r="J559" i="13"/>
  <c r="I572" i="13"/>
  <c r="I569" i="13"/>
  <c r="I566" i="13"/>
  <c r="F103" i="13"/>
  <c r="G103" i="13"/>
  <c r="G570" i="13"/>
  <c r="F100" i="13"/>
  <c r="G100" i="13"/>
  <c r="G567" i="13"/>
  <c r="F95" i="13"/>
  <c r="G95" i="13"/>
  <c r="G562" i="13"/>
  <c r="F98" i="13"/>
  <c r="G98" i="13"/>
  <c r="G565" i="13"/>
  <c r="F110" i="13"/>
  <c r="G110" i="13"/>
  <c r="G577" i="13"/>
  <c r="I576" i="13"/>
  <c r="I571" i="13"/>
  <c r="I578" i="13"/>
  <c r="I564" i="13"/>
  <c r="I565" i="13"/>
  <c r="G32" i="17"/>
  <c r="F33" i="17"/>
  <c r="F68" i="10"/>
  <c r="G68" i="10"/>
  <c r="F65" i="10"/>
  <c r="G65" i="10"/>
  <c r="F69" i="10"/>
  <c r="G69" i="10"/>
  <c r="F150" i="13"/>
  <c r="G150" i="13"/>
  <c r="F148" i="13"/>
  <c r="G148" i="13"/>
  <c r="F138" i="13"/>
  <c r="G138" i="13"/>
  <c r="G566" i="13"/>
  <c r="J566" i="13"/>
  <c r="G572" i="13"/>
  <c r="J572" i="13"/>
  <c r="G571" i="13"/>
  <c r="J571" i="13"/>
  <c r="G573" i="13"/>
  <c r="G564" i="13"/>
  <c r="J564" i="13"/>
  <c r="I568" i="13"/>
  <c r="I567" i="13"/>
  <c r="I570" i="13"/>
  <c r="I560" i="13"/>
  <c r="I561" i="13"/>
  <c r="F96" i="13"/>
  <c r="G96" i="13"/>
  <c r="G563" i="13"/>
  <c r="J563" i="13"/>
  <c r="F108" i="13"/>
  <c r="G108" i="13"/>
  <c r="G575" i="13"/>
  <c r="J575" i="13"/>
  <c r="F109" i="13"/>
  <c r="G109" i="13"/>
  <c r="G576" i="13"/>
  <c r="J576" i="13"/>
  <c r="F94" i="13"/>
  <c r="G94" i="13"/>
  <c r="G561" i="13"/>
  <c r="J561" i="13"/>
  <c r="F112" i="13"/>
  <c r="G112" i="13"/>
  <c r="F107" i="13"/>
  <c r="G107" i="13"/>
  <c r="G574" i="13"/>
  <c r="I562" i="13"/>
  <c r="I563" i="13"/>
  <c r="I577" i="13"/>
  <c r="I573" i="13"/>
  <c r="I574" i="13"/>
  <c r="J574" i="13"/>
  <c r="J573" i="13"/>
  <c r="G33" i="17"/>
  <c r="F34" i="17"/>
  <c r="J565" i="13"/>
  <c r="J567" i="13"/>
  <c r="J568" i="13"/>
  <c r="G578" i="13"/>
  <c r="J578" i="13"/>
  <c r="C37" i="27"/>
  <c r="F97" i="12"/>
  <c r="G97" i="12"/>
  <c r="F95" i="12"/>
  <c r="G95" i="12"/>
  <c r="F99" i="12"/>
  <c r="G99" i="12"/>
  <c r="C7" i="27"/>
  <c r="F84" i="12"/>
  <c r="G84" i="12"/>
  <c r="F89" i="12"/>
  <c r="G89" i="12"/>
  <c r="F91" i="12"/>
  <c r="G91" i="12"/>
  <c r="F90" i="12"/>
  <c r="G90" i="12"/>
  <c r="J577" i="13"/>
  <c r="B37" i="27"/>
  <c r="J562" i="13"/>
  <c r="J570" i="13"/>
  <c r="J560" i="13"/>
  <c r="J569" i="13"/>
  <c r="F94" i="12"/>
  <c r="G94" i="12"/>
  <c r="F92" i="12"/>
  <c r="G92" i="12"/>
  <c r="G34" i="17"/>
  <c r="F35" i="17"/>
  <c r="G35" i="17"/>
  <c r="F36" i="17"/>
  <c r="I32" i="15"/>
  <c r="K15" i="15"/>
  <c r="K16" i="15"/>
  <c r="K18" i="15"/>
  <c r="K20" i="15"/>
  <c r="K22" i="15"/>
  <c r="K24" i="15"/>
  <c r="K25" i="15"/>
  <c r="K26" i="15"/>
  <c r="K27" i="15"/>
  <c r="K28" i="15"/>
  <c r="K29" i="15"/>
  <c r="F30" i="15"/>
  <c r="F32" i="15"/>
  <c r="Q15" i="15"/>
  <c r="Q16" i="15"/>
  <c r="S12" i="15"/>
  <c r="H30" i="15"/>
  <c r="K30" i="15"/>
  <c r="J34" i="15"/>
  <c r="K3" i="15"/>
  <c r="D92" i="15"/>
  <c r="F92" i="15"/>
  <c r="F98" i="15"/>
  <c r="D94" i="15"/>
  <c r="E94" i="15"/>
  <c r="D96" i="15"/>
  <c r="E96" i="15"/>
  <c r="D106" i="15"/>
  <c r="E106" i="15"/>
  <c r="E112" i="15"/>
  <c r="E113" i="15"/>
  <c r="D112" i="15"/>
  <c r="E92" i="15"/>
  <c r="H32" i="15"/>
  <c r="F39" i="15"/>
  <c r="H34" i="15"/>
  <c r="H53" i="15"/>
  <c r="H50" i="15"/>
  <c r="H48" i="15"/>
  <c r="H46" i="15"/>
  <c r="H44" i="15"/>
  <c r="H51" i="15"/>
  <c r="H49" i="15"/>
  <c r="H47" i="15"/>
  <c r="H45" i="15"/>
  <c r="H43" i="15"/>
  <c r="H41" i="15"/>
  <c r="G39" i="15"/>
  <c r="J39" i="15"/>
  <c r="F40" i="15"/>
  <c r="H54" i="15"/>
  <c r="H52" i="15"/>
  <c r="H55" i="15"/>
  <c r="H56" i="15"/>
  <c r="H57" i="15"/>
  <c r="B15" i="27"/>
  <c r="H58" i="15"/>
  <c r="H59" i="15"/>
  <c r="C15" i="27"/>
  <c r="D15" i="27"/>
  <c r="G29" i="24"/>
  <c r="G36" i="24"/>
  <c r="C41" i="27"/>
  <c r="J62" i="24"/>
  <c r="F63" i="24"/>
  <c r="G30" i="24"/>
  <c r="H30" i="24"/>
  <c r="H36" i="24"/>
  <c r="H37" i="24"/>
  <c r="J36" i="24"/>
  <c r="F37" i="24"/>
  <c r="G37" i="24"/>
  <c r="D41" i="27"/>
  <c r="J37" i="24"/>
  <c r="F38" i="24"/>
  <c r="G38" i="24"/>
  <c r="E41" i="27"/>
  <c r="C40" i="27"/>
  <c r="H38" i="24"/>
  <c r="H40" i="27"/>
  <c r="I40" i="27"/>
  <c r="D40" i="27"/>
  <c r="J38" i="24"/>
  <c r="F39" i="24"/>
  <c r="H39" i="24"/>
  <c r="E40" i="27"/>
  <c r="G39" i="24"/>
  <c r="B25" i="29"/>
  <c r="J39" i="24"/>
  <c r="F40" i="24"/>
  <c r="H40" i="24"/>
  <c r="B24" i="29"/>
  <c r="H42" i="24"/>
  <c r="G40" i="24"/>
  <c r="C25" i="29"/>
  <c r="J40" i="24"/>
  <c r="F41" i="24"/>
  <c r="G41" i="24"/>
  <c r="D25" i="29"/>
  <c r="E24" i="29"/>
  <c r="E34" i="29"/>
  <c r="H43" i="24"/>
  <c r="C24" i="29"/>
  <c r="H41" i="24"/>
  <c r="D24" i="29"/>
  <c r="D34" i="29"/>
  <c r="J41" i="24"/>
  <c r="F42" i="24"/>
  <c r="J42" i="24"/>
  <c r="F43" i="24"/>
  <c r="H24" i="29"/>
  <c r="I24" i="29"/>
  <c r="H44" i="24"/>
  <c r="G42" i="24"/>
  <c r="E25" i="29"/>
  <c r="H45" i="24"/>
  <c r="J43" i="24"/>
  <c r="F44" i="24"/>
  <c r="F25" i="29"/>
  <c r="H46" i="24"/>
  <c r="J44" i="24"/>
  <c r="F45" i="24"/>
  <c r="H47" i="24"/>
  <c r="J45" i="24"/>
  <c r="F46" i="24"/>
  <c r="H48" i="24"/>
  <c r="J46" i="24"/>
  <c r="F47" i="24"/>
  <c r="H49" i="24"/>
  <c r="G47" i="24"/>
  <c r="J47" i="24"/>
  <c r="F48" i="24"/>
  <c r="H50" i="24"/>
  <c r="J48" i="24"/>
  <c r="F49" i="24"/>
  <c r="G48" i="24"/>
  <c r="H51" i="24"/>
  <c r="J49" i="24"/>
  <c r="F50" i="24"/>
  <c r="G49" i="24"/>
  <c r="H52" i="24"/>
  <c r="G50" i="24"/>
  <c r="J50" i="24"/>
  <c r="F51" i="24"/>
  <c r="H53" i="24"/>
  <c r="J51" i="24"/>
  <c r="F52" i="24"/>
  <c r="G51" i="24"/>
  <c r="H54" i="24"/>
  <c r="G52" i="24"/>
  <c r="J52" i="24"/>
  <c r="F53" i="24"/>
  <c r="H55" i="24"/>
  <c r="G53" i="24"/>
  <c r="J53" i="24"/>
  <c r="F54" i="24"/>
  <c r="G54" i="24"/>
  <c r="J54" i="24"/>
  <c r="F55" i="24"/>
  <c r="J55" i="24"/>
  <c r="G55" i="24"/>
  <c r="F51" i="16"/>
  <c r="F52" i="16"/>
  <c r="F53" i="16"/>
  <c r="F79" i="16"/>
  <c r="G79" i="16"/>
  <c r="J79" i="16"/>
  <c r="J80" i="16"/>
  <c r="G40" i="16"/>
  <c r="G41" i="16"/>
  <c r="H53" i="16"/>
  <c r="I42" i="16"/>
  <c r="I48" i="16"/>
  <c r="I40" i="16"/>
  <c r="I43" i="16"/>
  <c r="I59" i="16"/>
  <c r="I47" i="16"/>
  <c r="I58" i="16"/>
  <c r="I51" i="16"/>
  <c r="I53" i="16"/>
  <c r="I45" i="16"/>
  <c r="F43" i="16"/>
  <c r="G43" i="16"/>
  <c r="G42" i="16"/>
  <c r="F44" i="16"/>
  <c r="G44" i="16"/>
  <c r="I60" i="16"/>
  <c r="I44" i="16"/>
  <c r="G48" i="16"/>
  <c r="I46" i="16"/>
  <c r="F47" i="16"/>
  <c r="G47" i="16"/>
  <c r="I55" i="16"/>
  <c r="I57" i="16"/>
  <c r="I52" i="16"/>
  <c r="I54" i="16"/>
  <c r="I56" i="16"/>
  <c r="I49" i="16"/>
  <c r="I50" i="16"/>
  <c r="G53" i="16"/>
  <c r="F50" i="16"/>
  <c r="G50" i="16"/>
  <c r="F81" i="16"/>
  <c r="G81" i="16"/>
  <c r="F80" i="16"/>
  <c r="G80" i="16"/>
  <c r="H54" i="16"/>
  <c r="F55" i="16"/>
  <c r="G55" i="16"/>
  <c r="B21" i="27"/>
  <c r="F54" i="16"/>
  <c r="G54" i="16"/>
  <c r="G51" i="16"/>
  <c r="F49" i="16"/>
  <c r="G49" i="16"/>
  <c r="F46" i="16"/>
  <c r="G46" i="16"/>
  <c r="F45" i="16"/>
  <c r="G45" i="16"/>
  <c r="G52" i="16"/>
  <c r="H81" i="16"/>
  <c r="H55" i="16"/>
  <c r="H82" i="16"/>
  <c r="F83" i="16"/>
  <c r="G83" i="16"/>
  <c r="B22" i="27"/>
  <c r="F82" i="16"/>
  <c r="G82" i="16"/>
  <c r="H56" i="16"/>
  <c r="B20" i="27"/>
  <c r="B50" i="27"/>
  <c r="F56" i="16"/>
  <c r="G56" i="16"/>
  <c r="C21" i="27"/>
  <c r="F57" i="16"/>
  <c r="G57" i="16"/>
  <c r="D21" i="27"/>
  <c r="J83" i="16"/>
  <c r="J84" i="16"/>
  <c r="H83" i="16"/>
  <c r="H57" i="16"/>
  <c r="C20" i="27"/>
  <c r="H84" i="16"/>
  <c r="F84" i="16"/>
  <c r="G84" i="16"/>
  <c r="C22" i="27"/>
  <c r="H58" i="16"/>
  <c r="D20" i="27"/>
  <c r="H20" i="27"/>
  <c r="I20" i="27"/>
  <c r="F59" i="16"/>
  <c r="G59" i="16"/>
  <c r="B10" i="29"/>
  <c r="F58" i="16"/>
  <c r="G58" i="16"/>
  <c r="E21" i="27"/>
  <c r="H85" i="16"/>
  <c r="F85" i="16"/>
  <c r="G85" i="16"/>
  <c r="D22" i="27"/>
  <c r="H59" i="16"/>
  <c r="E20" i="27"/>
  <c r="H86" i="16"/>
  <c r="F86" i="16"/>
  <c r="G86" i="16"/>
  <c r="F87" i="16"/>
  <c r="G87" i="16"/>
  <c r="B11" i="29"/>
  <c r="H62" i="16"/>
  <c r="B9" i="29"/>
  <c r="H9" i="29"/>
  <c r="F60" i="16"/>
  <c r="G60" i="16"/>
  <c r="C10" i="29"/>
  <c r="H87" i="16"/>
  <c r="J87" i="16"/>
  <c r="J88" i="16"/>
  <c r="E22" i="27"/>
  <c r="I9" i="29"/>
  <c r="C9" i="29"/>
  <c r="G61" i="16"/>
  <c r="H88" i="16"/>
  <c r="F88" i="16"/>
  <c r="G88" i="16"/>
  <c r="C11" i="29"/>
  <c r="H90" i="16"/>
  <c r="F89" i="16"/>
  <c r="G89" i="16"/>
  <c r="D11" i="29"/>
  <c r="F26" i="27"/>
  <c r="I30" i="27"/>
  <c r="F10" i="27"/>
  <c r="G37" i="11"/>
  <c r="F30" i="27"/>
  <c r="G118" i="11"/>
  <c r="H112" i="11"/>
  <c r="J68" i="11"/>
  <c r="F69" i="11"/>
  <c r="H95" i="11"/>
  <c r="H101" i="11"/>
  <c r="H103" i="11"/>
  <c r="H105" i="11"/>
  <c r="H107" i="11"/>
  <c r="G69" i="11"/>
  <c r="H60" i="15"/>
  <c r="B4" i="29"/>
  <c r="E15" i="27"/>
  <c r="H15" i="27"/>
  <c r="G40" i="15"/>
  <c r="J40" i="15"/>
  <c r="F41" i="15"/>
  <c r="Q17" i="15"/>
  <c r="Q18" i="15"/>
  <c r="Q19" i="15"/>
  <c r="Q20" i="15"/>
  <c r="Q21" i="15"/>
  <c r="Q22" i="15"/>
  <c r="Q23" i="15"/>
  <c r="Q24" i="15"/>
  <c r="Q34" i="15"/>
  <c r="M34" i="15"/>
  <c r="M32" i="15"/>
  <c r="N32" i="15"/>
  <c r="N30" i="15"/>
  <c r="H69" i="15"/>
  <c r="H70" i="15"/>
  <c r="H71" i="15"/>
  <c r="H72" i="15"/>
  <c r="H73" i="15"/>
  <c r="H74" i="15"/>
  <c r="H67" i="15"/>
  <c r="J65" i="15"/>
  <c r="F66" i="15"/>
  <c r="G65" i="15"/>
  <c r="K32" i="15"/>
  <c r="H78" i="15"/>
  <c r="H79" i="15"/>
  <c r="H61" i="15"/>
  <c r="I4" i="29"/>
  <c r="G15" i="27"/>
  <c r="G50" i="27"/>
  <c r="D93" i="15"/>
  <c r="D95" i="15"/>
  <c r="E95" i="15"/>
  <c r="D97" i="15"/>
  <c r="E97" i="15"/>
  <c r="J69" i="11"/>
  <c r="F70" i="11"/>
  <c r="J118" i="11"/>
  <c r="F119" i="11"/>
  <c r="J37" i="11"/>
  <c r="F38" i="11"/>
  <c r="G41" i="15"/>
  <c r="E93" i="15"/>
  <c r="E98" i="15"/>
  <c r="D98" i="15"/>
  <c r="H75" i="15"/>
  <c r="H80" i="15"/>
  <c r="G66" i="15"/>
  <c r="G42" i="15"/>
  <c r="G119" i="11"/>
  <c r="J119" i="11"/>
  <c r="F120" i="11"/>
  <c r="G70" i="11"/>
  <c r="J70" i="11"/>
  <c r="F71" i="11"/>
  <c r="G38" i="11"/>
  <c r="J38" i="11"/>
  <c r="F39" i="11"/>
  <c r="I59" i="15"/>
  <c r="I57" i="15"/>
  <c r="I55" i="15"/>
  <c r="I53" i="15"/>
  <c r="I51" i="15"/>
  <c r="I49" i="15"/>
  <c r="I47" i="15"/>
  <c r="I45" i="15"/>
  <c r="I43" i="15"/>
  <c r="I60" i="15"/>
  <c r="I58" i="15"/>
  <c r="I56" i="15"/>
  <c r="I54" i="15"/>
  <c r="I52" i="15"/>
  <c r="I50" i="15"/>
  <c r="I48" i="15"/>
  <c r="I46" i="15"/>
  <c r="I44" i="15"/>
  <c r="F48" i="15"/>
  <c r="G48" i="15"/>
  <c r="I41" i="15"/>
  <c r="F51" i="15"/>
  <c r="G51" i="15"/>
  <c r="F43" i="15"/>
  <c r="G43" i="15"/>
  <c r="F52" i="15"/>
  <c r="G52" i="15"/>
  <c r="F46" i="15"/>
  <c r="G46" i="15"/>
  <c r="F50" i="15"/>
  <c r="G50" i="15"/>
  <c r="F54" i="15"/>
  <c r="G54" i="15"/>
  <c r="F56" i="15"/>
  <c r="G56" i="15"/>
  <c r="B16" i="27"/>
  <c r="F49" i="15"/>
  <c r="G49" i="15"/>
  <c r="F57" i="15"/>
  <c r="G57" i="15"/>
  <c r="C16" i="27"/>
  <c r="F58" i="15"/>
  <c r="G58" i="15"/>
  <c r="D16" i="27"/>
  <c r="F60" i="15"/>
  <c r="G60" i="15"/>
  <c r="B5" i="29"/>
  <c r="F5" i="29"/>
  <c r="F45" i="15"/>
  <c r="G45" i="15"/>
  <c r="F55" i="15"/>
  <c r="G55" i="15"/>
  <c r="F59" i="15"/>
  <c r="G59" i="15"/>
  <c r="E16" i="27"/>
  <c r="J66" i="15"/>
  <c r="F67" i="15"/>
  <c r="H81" i="15"/>
  <c r="H76" i="15"/>
  <c r="G39" i="11"/>
  <c r="J39" i="11"/>
  <c r="F40" i="11"/>
  <c r="G120" i="11"/>
  <c r="J120" i="11"/>
  <c r="F121" i="11"/>
  <c r="G71" i="11"/>
  <c r="H77" i="15"/>
  <c r="H82" i="15"/>
  <c r="G67" i="15"/>
  <c r="G68" i="15"/>
  <c r="F47" i="15"/>
  <c r="G47" i="15"/>
  <c r="F44" i="15"/>
  <c r="G44" i="15"/>
  <c r="F53" i="15"/>
  <c r="G53" i="15"/>
  <c r="G121" i="11"/>
  <c r="G40" i="11"/>
  <c r="J40" i="11"/>
  <c r="F41" i="11"/>
  <c r="J71" i="11"/>
  <c r="F72" i="11"/>
  <c r="I86" i="15"/>
  <c r="I84" i="15"/>
  <c r="I82" i="15"/>
  <c r="I80" i="15"/>
  <c r="I78" i="15"/>
  <c r="I76" i="15"/>
  <c r="I74" i="15"/>
  <c r="I72" i="15"/>
  <c r="I70" i="15"/>
  <c r="I67" i="15"/>
  <c r="I85" i="15"/>
  <c r="I83" i="15"/>
  <c r="I81" i="15"/>
  <c r="I79" i="15"/>
  <c r="I77" i="15"/>
  <c r="I75" i="15"/>
  <c r="I73" i="15"/>
  <c r="I71" i="15"/>
  <c r="I69" i="15"/>
  <c r="F72" i="15"/>
  <c r="G72" i="15"/>
  <c r="F76" i="15"/>
  <c r="G76" i="15"/>
  <c r="F84" i="15"/>
  <c r="G84" i="15"/>
  <c r="D17" i="27"/>
  <c r="F69" i="15"/>
  <c r="G69" i="15"/>
  <c r="F71" i="15"/>
  <c r="G71" i="15"/>
  <c r="F79" i="15"/>
  <c r="G79" i="15"/>
  <c r="F74" i="15"/>
  <c r="G74" i="15"/>
  <c r="F82" i="15"/>
  <c r="G82" i="15"/>
  <c r="B17" i="27"/>
  <c r="F73" i="15"/>
  <c r="G73" i="15"/>
  <c r="F81" i="15"/>
  <c r="G81" i="15"/>
  <c r="H83" i="15"/>
  <c r="G72" i="11"/>
  <c r="J72" i="11"/>
  <c r="F73" i="11"/>
  <c r="G41" i="11"/>
  <c r="J41" i="11"/>
  <c r="F42" i="11"/>
  <c r="J121" i="11"/>
  <c r="F122" i="11"/>
  <c r="H84" i="15"/>
  <c r="F85" i="15"/>
  <c r="G85" i="15"/>
  <c r="E17" i="27"/>
  <c r="F77" i="15"/>
  <c r="G77" i="15"/>
  <c r="F78" i="15"/>
  <c r="G78" i="15"/>
  <c r="F70" i="15"/>
  <c r="G70" i="15"/>
  <c r="F83" i="15"/>
  <c r="G83" i="15"/>
  <c r="C17" i="27"/>
  <c r="F75" i="15"/>
  <c r="G75" i="15"/>
  <c r="F80" i="15"/>
  <c r="G80" i="15"/>
  <c r="G73" i="11"/>
  <c r="J73" i="11"/>
  <c r="F74" i="11"/>
  <c r="G42" i="11"/>
  <c r="G43" i="11"/>
  <c r="G122" i="11"/>
  <c r="J122" i="11"/>
  <c r="F123" i="11"/>
  <c r="H85" i="15"/>
  <c r="G74" i="11"/>
  <c r="J74" i="11"/>
  <c r="F75" i="11"/>
  <c r="I54" i="11"/>
  <c r="I52" i="11"/>
  <c r="I50" i="11"/>
  <c r="I59" i="11"/>
  <c r="I57" i="11"/>
  <c r="I62" i="11"/>
  <c r="I60" i="11"/>
  <c r="I58" i="11"/>
  <c r="I48" i="11"/>
  <c r="I42" i="11"/>
  <c r="I49" i="11"/>
  <c r="I44" i="11"/>
  <c r="F46" i="11"/>
  <c r="G46" i="11"/>
  <c r="I47" i="11"/>
  <c r="I53" i="11"/>
  <c r="I45" i="11"/>
  <c r="I56" i="11"/>
  <c r="I46" i="11"/>
  <c r="F48" i="11"/>
  <c r="G48" i="11"/>
  <c r="I55" i="11"/>
  <c r="I61" i="11"/>
  <c r="I51" i="11"/>
  <c r="F56" i="11"/>
  <c r="G56" i="11"/>
  <c r="D31" i="27"/>
  <c r="D51" i="27"/>
  <c r="F55" i="11"/>
  <c r="G55" i="11"/>
  <c r="C31" i="27"/>
  <c r="F44" i="11"/>
  <c r="G44" i="11"/>
  <c r="G123" i="11"/>
  <c r="J123" i="11"/>
  <c r="F124" i="11"/>
  <c r="H86" i="15"/>
  <c r="F86" i="15"/>
  <c r="G86" i="15"/>
  <c r="B6" i="29"/>
  <c r="F50" i="11"/>
  <c r="G50" i="11"/>
  <c r="F57" i="11"/>
  <c r="G57" i="11"/>
  <c r="E31" i="27"/>
  <c r="E51" i="27"/>
  <c r="F53" i="11"/>
  <c r="G53" i="11"/>
  <c r="J42" i="11"/>
  <c r="I63" i="11"/>
  <c r="G124" i="11"/>
  <c r="J124" i="11"/>
  <c r="F125" i="11"/>
  <c r="G75" i="11"/>
  <c r="J75" i="11"/>
  <c r="F76" i="11"/>
  <c r="F59" i="11"/>
  <c r="G59" i="11"/>
  <c r="C20" i="29"/>
  <c r="C35" i="29"/>
  <c r="F51" i="11"/>
  <c r="G51" i="11"/>
  <c r="F49" i="11"/>
  <c r="G49" i="11"/>
  <c r="F60" i="11"/>
  <c r="G60" i="11"/>
  <c r="D20" i="29"/>
  <c r="D35" i="29"/>
  <c r="F45" i="11"/>
  <c r="G45" i="11"/>
  <c r="F54" i="11"/>
  <c r="G54" i="11"/>
  <c r="F52" i="11"/>
  <c r="G52" i="11"/>
  <c r="F61" i="11"/>
  <c r="G61" i="11"/>
  <c r="E20" i="29"/>
  <c r="E35" i="29"/>
  <c r="F62" i="11"/>
  <c r="G62" i="11"/>
  <c r="F47" i="11"/>
  <c r="G47" i="11"/>
  <c r="F58" i="11"/>
  <c r="G58" i="11"/>
  <c r="B20" i="29"/>
  <c r="B35" i="29"/>
  <c r="F6" i="29"/>
  <c r="H88" i="15"/>
  <c r="F87" i="15"/>
  <c r="G87" i="15"/>
  <c r="G125" i="11"/>
  <c r="J125" i="11"/>
  <c r="F126" i="11"/>
  <c r="G76" i="11"/>
  <c r="J76" i="11"/>
  <c r="F77" i="11"/>
  <c r="G77" i="11"/>
  <c r="J77" i="11"/>
  <c r="F78" i="11"/>
  <c r="G126" i="11"/>
  <c r="J126" i="11"/>
  <c r="F127" i="11"/>
  <c r="G127" i="11"/>
  <c r="J127" i="11"/>
  <c r="F128" i="11"/>
  <c r="G78" i="11"/>
  <c r="J78" i="11"/>
  <c r="F79" i="11"/>
  <c r="G79" i="11"/>
  <c r="J79" i="11"/>
  <c r="F80" i="11"/>
  <c r="G128" i="11"/>
  <c r="J128" i="11"/>
  <c r="F129" i="11"/>
  <c r="G129" i="11"/>
  <c r="J129" i="11"/>
  <c r="F130" i="11"/>
  <c r="G80" i="11"/>
  <c r="J80" i="11"/>
  <c r="F81" i="11"/>
  <c r="G130" i="11"/>
  <c r="J130" i="11"/>
  <c r="F131" i="11"/>
  <c r="G81" i="11"/>
  <c r="J81" i="11"/>
  <c r="F82" i="11"/>
  <c r="G82" i="11"/>
  <c r="J82" i="11"/>
  <c r="F83" i="11"/>
  <c r="G131" i="11"/>
  <c r="J131" i="11"/>
  <c r="F132" i="11"/>
  <c r="G83" i="11"/>
  <c r="J83" i="11"/>
  <c r="F84" i="11"/>
  <c r="G132" i="11"/>
  <c r="J132" i="11"/>
  <c r="F133" i="11"/>
  <c r="G133" i="11"/>
  <c r="J133" i="11"/>
  <c r="F134" i="11"/>
  <c r="G84" i="11"/>
  <c r="J84" i="11"/>
  <c r="F85" i="11"/>
  <c r="G134" i="11"/>
  <c r="J134" i="11"/>
  <c r="F135" i="11"/>
  <c r="G85" i="11"/>
  <c r="J85" i="11"/>
  <c r="F86" i="11"/>
  <c r="G86" i="11"/>
  <c r="J86" i="11"/>
  <c r="F87" i="11"/>
  <c r="G135" i="11"/>
  <c r="J135" i="11"/>
  <c r="F136" i="11"/>
  <c r="G136" i="11"/>
  <c r="J136" i="11"/>
  <c r="F137" i="11"/>
  <c r="G87" i="11"/>
  <c r="J87" i="11"/>
  <c r="F88" i="11"/>
  <c r="G137" i="11"/>
  <c r="J137" i="11"/>
  <c r="F138" i="11"/>
  <c r="G88" i="11"/>
  <c r="J88" i="11"/>
  <c r="F89" i="11"/>
  <c r="G138" i="11"/>
  <c r="J138" i="11"/>
  <c r="F139" i="11"/>
  <c r="G89" i="11"/>
  <c r="J89" i="11"/>
  <c r="F90" i="11"/>
  <c r="G90" i="11"/>
  <c r="J90" i="11"/>
  <c r="F91" i="11"/>
  <c r="G139" i="11"/>
  <c r="J139" i="11"/>
  <c r="F140" i="11"/>
  <c r="G140" i="11"/>
  <c r="G141" i="11"/>
  <c r="G91" i="11"/>
  <c r="J91" i="11"/>
  <c r="F92" i="11"/>
  <c r="G92" i="11"/>
  <c r="G93" i="11"/>
  <c r="I101" i="11"/>
  <c r="I95" i="11"/>
  <c r="I100" i="11"/>
  <c r="I105" i="11"/>
  <c r="I103" i="11"/>
  <c r="I112" i="11"/>
  <c r="I106" i="11"/>
  <c r="I98" i="11"/>
  <c r="I97" i="11"/>
  <c r="I110" i="11"/>
  <c r="I96" i="11"/>
  <c r="I107" i="11"/>
  <c r="I92" i="11"/>
  <c r="I102" i="11"/>
  <c r="I104" i="11"/>
  <c r="I109" i="11"/>
  <c r="I99" i="11"/>
  <c r="I108" i="11"/>
  <c r="F102" i="11"/>
  <c r="G102" i="11"/>
  <c r="I94" i="11"/>
  <c r="I111" i="11"/>
  <c r="F112" i="11"/>
  <c r="G112" i="11"/>
  <c r="F98" i="11"/>
  <c r="G98" i="11"/>
  <c r="F108" i="11"/>
  <c r="G108" i="11"/>
  <c r="F107" i="11"/>
  <c r="G107" i="11"/>
  <c r="F99" i="11"/>
  <c r="G99" i="11"/>
  <c r="F103" i="11"/>
  <c r="G103" i="11"/>
  <c r="F95" i="11"/>
  <c r="G95" i="11"/>
  <c r="F94" i="11"/>
  <c r="G94" i="11"/>
  <c r="J140" i="11"/>
  <c r="I149" i="11"/>
  <c r="I147" i="11"/>
  <c r="I145" i="11"/>
  <c r="I151" i="11"/>
  <c r="I140" i="11"/>
  <c r="F155" i="11"/>
  <c r="G155" i="11"/>
  <c r="I143" i="11"/>
  <c r="I154" i="11"/>
  <c r="I156" i="11"/>
  <c r="I150" i="11"/>
  <c r="I152" i="11"/>
  <c r="I146" i="11"/>
  <c r="F150" i="11"/>
  <c r="G150" i="11"/>
  <c r="I148" i="11"/>
  <c r="F152" i="11"/>
  <c r="G152" i="11"/>
  <c r="I142" i="11"/>
  <c r="F145" i="11"/>
  <c r="G145" i="11"/>
  <c r="I144" i="11"/>
  <c r="I155" i="11"/>
  <c r="I153" i="11"/>
  <c r="F149" i="11"/>
  <c r="G149" i="11"/>
  <c r="F151" i="11"/>
  <c r="G151" i="11"/>
  <c r="F144" i="11"/>
  <c r="G144" i="11"/>
  <c r="F153" i="11"/>
  <c r="G153" i="11"/>
  <c r="F105" i="11"/>
  <c r="G105" i="11"/>
  <c r="F106" i="11"/>
  <c r="G106" i="11"/>
  <c r="D32" i="27"/>
  <c r="F147" i="11"/>
  <c r="G147" i="11"/>
  <c r="F96" i="11"/>
  <c r="G96" i="11"/>
  <c r="F97" i="11"/>
  <c r="G97" i="11"/>
  <c r="F104" i="11"/>
  <c r="G104" i="11"/>
  <c r="F109" i="11"/>
  <c r="G109" i="11"/>
  <c r="C21" i="29"/>
  <c r="F101" i="11"/>
  <c r="G101" i="11"/>
  <c r="F143" i="11"/>
  <c r="G143" i="11"/>
  <c r="F142" i="11"/>
  <c r="G142" i="11"/>
  <c r="F156" i="11"/>
  <c r="G156" i="11"/>
  <c r="F148" i="11"/>
  <c r="G148" i="11"/>
  <c r="F154" i="11"/>
  <c r="G154" i="11"/>
  <c r="C32" i="27"/>
  <c r="F146" i="11"/>
  <c r="G146" i="11"/>
  <c r="F157" i="11"/>
  <c r="G157" i="11"/>
  <c r="B21" i="29"/>
  <c r="E32" i="27"/>
  <c r="F111" i="11"/>
  <c r="G111" i="11"/>
  <c r="E21" i="29"/>
  <c r="F100" i="11"/>
  <c r="G100" i="11"/>
  <c r="F110" i="11"/>
  <c r="G110" i="11"/>
  <c r="D21" i="29"/>
  <c r="B52" i="27"/>
  <c r="J63" i="24"/>
  <c r="F64" i="24"/>
  <c r="J64" i="24"/>
  <c r="F65" i="24"/>
  <c r="G65" i="24"/>
  <c r="J65" i="24"/>
  <c r="F66" i="24"/>
  <c r="J66" i="24"/>
  <c r="F67" i="24"/>
  <c r="G66" i="24"/>
  <c r="G67" i="24"/>
  <c r="J67" i="24"/>
  <c r="F68" i="24"/>
  <c r="J68" i="24"/>
  <c r="F69" i="24"/>
  <c r="G68" i="24"/>
  <c r="G69" i="24"/>
  <c r="J69" i="24"/>
  <c r="F70" i="24"/>
  <c r="G70" i="24"/>
  <c r="G71" i="24"/>
  <c r="I70" i="24"/>
  <c r="I88" i="24"/>
  <c r="I89" i="24"/>
  <c r="I90" i="24"/>
  <c r="I72" i="24"/>
  <c r="I81" i="24"/>
  <c r="I85" i="24"/>
  <c r="I87" i="24"/>
  <c r="I80" i="24"/>
  <c r="I82" i="24"/>
  <c r="I83" i="24"/>
  <c r="I75" i="24"/>
  <c r="I84" i="24"/>
  <c r="I73" i="24"/>
  <c r="I74" i="24"/>
  <c r="I78" i="24"/>
  <c r="I77" i="24"/>
  <c r="I86" i="24"/>
  <c r="I79" i="24"/>
  <c r="I76" i="24"/>
  <c r="C42" i="27"/>
  <c r="C52" i="27"/>
  <c r="J70" i="24"/>
  <c r="F72" i="24"/>
  <c r="J72" i="24"/>
  <c r="F73" i="24"/>
  <c r="G72" i="24"/>
  <c r="D42" i="27"/>
  <c r="G73" i="24"/>
  <c r="E42" i="27"/>
  <c r="J73" i="24"/>
  <c r="F74" i="24"/>
  <c r="G74" i="24"/>
  <c r="B26" i="29"/>
  <c r="J74" i="24"/>
  <c r="F75" i="24"/>
  <c r="G75" i="24"/>
  <c r="C26" i="29"/>
  <c r="C36" i="29"/>
  <c r="J75" i="24"/>
  <c r="F76" i="24"/>
  <c r="G76" i="24"/>
  <c r="D26" i="29"/>
  <c r="D36" i="29"/>
  <c r="J76" i="24"/>
  <c r="F77" i="24"/>
  <c r="G77" i="24"/>
  <c r="E26" i="29"/>
  <c r="E36" i="29"/>
  <c r="J77" i="24"/>
  <c r="F78" i="24"/>
  <c r="J78" i="24"/>
  <c r="F79" i="24"/>
  <c r="G78" i="24"/>
  <c r="G79" i="24"/>
  <c r="J79" i="24"/>
  <c r="F80" i="24"/>
  <c r="G80" i="24"/>
  <c r="J80" i="24"/>
  <c r="F81" i="24"/>
  <c r="G81" i="24"/>
  <c r="J81" i="24"/>
  <c r="F82" i="24"/>
  <c r="G82" i="24"/>
  <c r="J82" i="24"/>
  <c r="F83" i="24"/>
  <c r="G83" i="24"/>
  <c r="J83" i="24"/>
  <c r="F84" i="24"/>
  <c r="G84" i="24"/>
  <c r="J84" i="24"/>
  <c r="F85" i="24"/>
  <c r="G85" i="24"/>
  <c r="J85" i="24"/>
  <c r="F86" i="24"/>
  <c r="G86" i="24"/>
  <c r="J86" i="24"/>
  <c r="F87" i="24"/>
  <c r="J87" i="24"/>
  <c r="F88" i="24"/>
  <c r="G87" i="24"/>
  <c r="G88" i="24"/>
  <c r="J88" i="24"/>
  <c r="F89" i="24"/>
  <c r="J89" i="24"/>
  <c r="F90" i="24"/>
  <c r="G89" i="24"/>
  <c r="G90" i="24"/>
  <c r="J90" i="24"/>
  <c r="F37" i="27"/>
  <c r="C51" i="27"/>
  <c r="I15" i="27"/>
  <c r="F15" i="27"/>
  <c r="F40" i="27"/>
  <c r="F30" i="29"/>
  <c r="F19" i="29"/>
  <c r="C34" i="29"/>
  <c r="F21" i="29"/>
  <c r="B34" i="29"/>
  <c r="F11" i="29"/>
  <c r="F26" i="29"/>
  <c r="F4" i="29"/>
  <c r="B36" i="29"/>
  <c r="F20" i="29"/>
  <c r="F35" i="29"/>
  <c r="F24" i="29"/>
  <c r="F9" i="29"/>
  <c r="F10" i="29"/>
  <c r="F16" i="29"/>
  <c r="F14" i="29"/>
  <c r="D52" i="27"/>
  <c r="E50" i="27"/>
  <c r="E52" i="27"/>
  <c r="F32" i="27"/>
  <c r="H50" i="27"/>
  <c r="I50" i="27"/>
  <c r="F22" i="27"/>
  <c r="F31" i="27"/>
  <c r="F16" i="27"/>
  <c r="F17" i="27"/>
  <c r="F41" i="27"/>
  <c r="F52" i="27"/>
  <c r="B51" i="27"/>
  <c r="F51" i="27"/>
  <c r="F20" i="27"/>
  <c r="D50" i="27"/>
  <c r="C50" i="27"/>
  <c r="F21" i="27"/>
  <c r="F7" i="27"/>
  <c r="F42" i="27"/>
  <c r="I34" i="29"/>
  <c r="F34" i="29"/>
  <c r="F36" i="29"/>
  <c r="F50" i="27"/>
</calcChain>
</file>

<file path=xl/sharedStrings.xml><?xml version="1.0" encoding="utf-8"?>
<sst xmlns="http://schemas.openxmlformats.org/spreadsheetml/2006/main" count="1965" uniqueCount="202">
  <si>
    <t>Total</t>
  </si>
  <si>
    <t>ITCC</t>
  </si>
  <si>
    <t xml:space="preserve">All Totals </t>
  </si>
  <si>
    <t>Facility Credit</t>
  </si>
  <si>
    <t>Facility - Interest Credit</t>
  </si>
  <si>
    <t>One Time Cost - Interest Credit</t>
  </si>
  <si>
    <t>Transmission Credit Amount Received</t>
  </si>
  <si>
    <t>Facility Cost</t>
  </si>
  <si>
    <t>Date Payment Received By SCE</t>
  </si>
  <si>
    <t>In-service Date:</t>
  </si>
  <si>
    <t>A</t>
  </si>
  <si>
    <t>B</t>
  </si>
  <si>
    <t>C</t>
  </si>
  <si>
    <t>D = C-B+1</t>
  </si>
  <si>
    <t>E</t>
  </si>
  <si>
    <t>F</t>
  </si>
  <si>
    <t>G=D/365*E/100*F</t>
  </si>
  <si>
    <t>H</t>
  </si>
  <si>
    <t>Period</t>
  </si>
  <si>
    <t>Start Date</t>
  </si>
  <si>
    <t>End Date</t>
  </si>
  <si>
    <t>Days</t>
  </si>
  <si>
    <t>APR Interest Rate (%)</t>
  </si>
  <si>
    <t>Principal Used For Interest Calculation ($)</t>
  </si>
  <si>
    <t>Interest Amount ($)</t>
  </si>
  <si>
    <t>Running Balance ($)</t>
  </si>
  <si>
    <t>Qtr 1 -2003</t>
  </si>
  <si>
    <t>Qtr 2 -2003</t>
  </si>
  <si>
    <t>Qtr 3 -2003</t>
  </si>
  <si>
    <t>Qtr 4 -2003</t>
  </si>
  <si>
    <t>Qtr 1 -2004</t>
  </si>
  <si>
    <t>Qtr 3- 2004</t>
  </si>
  <si>
    <t>Qtr 4 - 2004</t>
  </si>
  <si>
    <t>Qtr 1 - 2005</t>
  </si>
  <si>
    <t>Qtr 2 - 2005</t>
  </si>
  <si>
    <t>Qtr 3 - 2005</t>
  </si>
  <si>
    <t>Qtr 4 - 2005</t>
  </si>
  <si>
    <t>Principal Paid</t>
  </si>
  <si>
    <t>Facility Cost Interest (Pre-True-Up)</t>
  </si>
  <si>
    <t>Interest Paid</t>
  </si>
  <si>
    <t>Qtr 2 -2005</t>
  </si>
  <si>
    <t>Qtr 3 -2004</t>
  </si>
  <si>
    <t>Qtr 3 -2005</t>
  </si>
  <si>
    <t>Qtr 1 -2005</t>
  </si>
  <si>
    <t>Qtr 2 -2004</t>
  </si>
  <si>
    <t>Qtr 4 -2004</t>
  </si>
  <si>
    <t>Qtr 2 -2002</t>
  </si>
  <si>
    <t>Qtr 3 -2002</t>
  </si>
  <si>
    <t>Qtr 4 -2002</t>
  </si>
  <si>
    <t>Qtr 3- 2005</t>
  </si>
  <si>
    <t>Qtr 2- 2005</t>
  </si>
  <si>
    <t>Accrued Interest on One-Time Costs - Payment Dated 5/1/2002</t>
  </si>
  <si>
    <t>Accrued Interest on One-Time Costs - Payment Dated 6/4/2002</t>
  </si>
  <si>
    <t>Accrued Interest on One-Time Costs - Payment Dated 8/15/2002</t>
  </si>
  <si>
    <t>Accrued Interest on One-Time Costs - Payment Dated 9/1/2002</t>
  </si>
  <si>
    <t>Accrued Interest on One-Time Costs - Payment Dated 10/1/2002</t>
  </si>
  <si>
    <t>Accrued Interest on One-Time Costs - Payment Dated 10/15/2002</t>
  </si>
  <si>
    <t>Accrued Interest on One-Time Costs - Payment Dated 11/15/2002</t>
  </si>
  <si>
    <t>Facility Cost Interest</t>
  </si>
  <si>
    <t>Accrued Interest on One-Time Costs - Payment Dated 7/23/2002</t>
  </si>
  <si>
    <t>Qtr 4 - 2002</t>
  </si>
  <si>
    <t>Qtr 2 - 2003</t>
  </si>
  <si>
    <t>Qtr 3 - 2003</t>
  </si>
  <si>
    <t>Qtr 2 - 2004</t>
  </si>
  <si>
    <t>Qtr 3 - 2004</t>
  </si>
  <si>
    <t>Accrued Interest on One-Time Costs - Payment Dated 11/15/2004</t>
  </si>
  <si>
    <t>Accrued Interest on One-Time Costs - Payment Dated 6/15/2004</t>
  </si>
  <si>
    <t>Accrued Interest on One-Time Costs - Payment Dated 7/15/2004</t>
  </si>
  <si>
    <t>Accrued Interest on One-Time Costs - Payment Dated 8/15/2004</t>
  </si>
  <si>
    <t>Accrued Interest on One-Time Costs - Payment Dated 9/15/2004</t>
  </si>
  <si>
    <t>Accrued Interest on One-Time Costs - Payment Dated 4/15/2004</t>
  </si>
  <si>
    <t>Payment #</t>
  </si>
  <si>
    <t>Qtr 1 - 2004</t>
  </si>
  <si>
    <t>Qtr 3 - 2002</t>
  </si>
  <si>
    <t>Qtr 1 - 2003</t>
  </si>
  <si>
    <t>Qtr 4 - 2003</t>
  </si>
  <si>
    <t>Qtr 1 - 2006</t>
  </si>
  <si>
    <t>Qtr 2 - 2006</t>
  </si>
  <si>
    <t>Qtr 3 - 2006</t>
  </si>
  <si>
    <t>Qtr 4 - 2006</t>
  </si>
  <si>
    <t>Qtr 1 - 2007</t>
  </si>
  <si>
    <t>Qtr 2 - 2007</t>
  </si>
  <si>
    <t>Qtr 3 - 2007</t>
  </si>
  <si>
    <t>Qtr 4 - 2007</t>
  </si>
  <si>
    <t>Disbursement #</t>
  </si>
  <si>
    <t>Disbursement Date</t>
  </si>
  <si>
    <t>One-Time Cost</t>
  </si>
  <si>
    <t>Combined total</t>
  </si>
  <si>
    <t>Estimated In-Service Date:</t>
  </si>
  <si>
    <t>Facility Costs</t>
  </si>
  <si>
    <t>Qtr 2 - 2001</t>
  </si>
  <si>
    <t>Qtr 3 - 2001</t>
  </si>
  <si>
    <t>Qtr 4 - 2001</t>
  </si>
  <si>
    <t>Qtr 1 - 2002</t>
  </si>
  <si>
    <t>Qtr 2 - 2002</t>
  </si>
  <si>
    <t>In-Service Date:</t>
  </si>
  <si>
    <t>Total Payments</t>
  </si>
  <si>
    <t>(Estimated)</t>
  </si>
  <si>
    <t>Lugo Share (41.75%)</t>
  </si>
  <si>
    <t>Moenkopi Share (58.25%)</t>
  </si>
  <si>
    <t>Qtr 4 - 2008</t>
  </si>
  <si>
    <t>Qtr 4 - 2009</t>
  </si>
  <si>
    <t>Qtr 4 - 2010</t>
  </si>
  <si>
    <t>Qtr 4 - 2011</t>
  </si>
  <si>
    <t>Qtr 4 - 2012</t>
  </si>
  <si>
    <t>Qtr 1 - 2008</t>
  </si>
  <si>
    <t>Qtr 2 - 2008</t>
  </si>
  <si>
    <t>Qtr 3 - 2008</t>
  </si>
  <si>
    <t>Qtr 1 - 2009</t>
  </si>
  <si>
    <t>Qtr 2 - 2009</t>
  </si>
  <si>
    <t>Qtr 1 - 2012</t>
  </si>
  <si>
    <t>Qtr 3 - 2009</t>
  </si>
  <si>
    <t>Qtr 1 - 2010</t>
  </si>
  <si>
    <t>Qtr 2 - 2010</t>
  </si>
  <si>
    <t>Qtr 3 - 2010</t>
  </si>
  <si>
    <t>Qtr 1 - 2011</t>
  </si>
  <si>
    <t>Qtr 2 - 2011</t>
  </si>
  <si>
    <t>Qtr 3 - 2011</t>
  </si>
  <si>
    <t>Qtr 2 - 2012</t>
  </si>
  <si>
    <t>Qtr 3 - 2012</t>
  </si>
  <si>
    <r>
      <t>Customer Payments</t>
    </r>
    <r>
      <rPr>
        <b/>
        <sz val="10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 xml:space="preserve"> </t>
    </r>
  </si>
  <si>
    <r>
      <t>One-Time Cost</t>
    </r>
    <r>
      <rPr>
        <b/>
        <vertAlign val="superscript"/>
        <sz val="10"/>
        <rFont val="Arial"/>
        <family val="2"/>
      </rPr>
      <t xml:space="preserve"> (3)</t>
    </r>
  </si>
  <si>
    <t>Payments # 1 &amp; 2 - Facility Cost Interest</t>
  </si>
  <si>
    <t>Payment # 3 - Facility Cost Interest</t>
  </si>
  <si>
    <t>Facility Costs Interest</t>
  </si>
  <si>
    <t>Accrued Interest on One-Time Cost Interest</t>
  </si>
  <si>
    <t>Accrued Interest on One-Time Costs - Payment 2</t>
  </si>
  <si>
    <t>Accrued Interest on One-Time Costs - Payment 1</t>
  </si>
  <si>
    <t>Accrued Interest on One-Time Cost - Payment #1</t>
  </si>
  <si>
    <t xml:space="preserve">Notes: </t>
  </si>
  <si>
    <t>Accrued / Quarterly Interest Amount ($)</t>
  </si>
  <si>
    <t>Accrued Interest Paid</t>
  </si>
  <si>
    <t>Total Interest Accrued</t>
  </si>
  <si>
    <t>1st Qtr</t>
  </si>
  <si>
    <t>2nd Qtr</t>
  </si>
  <si>
    <t>3rd Qtr</t>
  </si>
  <si>
    <t>4 Qtr</t>
  </si>
  <si>
    <t>Balance</t>
  </si>
  <si>
    <t>Moenkopi Capacitors (PAB004)</t>
  </si>
  <si>
    <t>Lugo Capacitors (PAB004)</t>
  </si>
  <si>
    <t>Pastoria (TOT018)</t>
  </si>
  <si>
    <t>Mountainview (TOT004)</t>
  </si>
  <si>
    <t>Qtr 1 - 2013</t>
  </si>
  <si>
    <t>Qtr 2 - 2013</t>
  </si>
  <si>
    <t>Qtr 3 - 2013</t>
  </si>
  <si>
    <t>Qtr 4 - 2013</t>
  </si>
  <si>
    <t>Summary of One-Times</t>
  </si>
  <si>
    <t>Interest</t>
  </si>
  <si>
    <t>Total Interest</t>
  </si>
  <si>
    <t>Qtr 1 - 2014</t>
  </si>
  <si>
    <t>Qtr 2 - 2014</t>
  </si>
  <si>
    <t>Qtr 3 - 2014</t>
  </si>
  <si>
    <t>Qtr 4 - 2014</t>
  </si>
  <si>
    <t>Qtr 1 - 2015</t>
  </si>
  <si>
    <t>Accrued Interest on One-Time Cost</t>
  </si>
  <si>
    <t>(Actual)</t>
  </si>
  <si>
    <t xml:space="preserve">1st refund </t>
  </si>
  <si>
    <t>Quarterly Interest Amount ($)</t>
  </si>
  <si>
    <t>Est.date</t>
  </si>
  <si>
    <t>Inland Empire Energy Center (TOT037)</t>
  </si>
  <si>
    <t>MOENKOPI</t>
  </si>
  <si>
    <t>Adjustments</t>
  </si>
  <si>
    <t>New Qtrly Pymt</t>
  </si>
  <si>
    <t>ONE TIME</t>
  </si>
  <si>
    <t>NEW</t>
  </si>
  <si>
    <t xml:space="preserve">OLD </t>
  </si>
  <si>
    <t>NPC Lenzie</t>
  </si>
  <si>
    <t>Reliant</t>
  </si>
  <si>
    <t>Mirant</t>
  </si>
  <si>
    <t>SNWA</t>
  </si>
  <si>
    <t xml:space="preserve">NPC </t>
  </si>
  <si>
    <t>LV Cogen</t>
  </si>
  <si>
    <t>ADJUSTED Total</t>
  </si>
  <si>
    <t xml:space="preserve">ADJUSTED Total </t>
  </si>
  <si>
    <t>OLD</t>
  </si>
  <si>
    <t>LUGO</t>
  </si>
  <si>
    <t xml:space="preserve">TRUE UP Amounts: </t>
  </si>
  <si>
    <t>Per TC Module??</t>
  </si>
  <si>
    <t>TRUEUP Adj</t>
  </si>
  <si>
    <t>Actual Costs</t>
  </si>
  <si>
    <t>Actual Refunds per TC Module</t>
  </si>
  <si>
    <t>Cogen</t>
  </si>
  <si>
    <t>reliant</t>
  </si>
  <si>
    <t>snwa</t>
  </si>
  <si>
    <t>npc</t>
  </si>
  <si>
    <t>npc lenzie</t>
  </si>
  <si>
    <t>* Total Payments = Total facility related payments made by customer, subject to refund.</t>
  </si>
  <si>
    <t>** Refunds to date = Total refunds made by SCE at the end of reporting year.</t>
  </si>
  <si>
    <t>*** ALL TOTALS</t>
  </si>
  <si>
    <t xml:space="preserve">      Facility Credit = Quarterly refunds made by SCE related to customer facility cost prepayments. </t>
  </si>
  <si>
    <t xml:space="preserve">      Facility Interest Credit = Quarterly post-construction interest payments made by SCE, calculation starts on the in-service date of the facility.</t>
  </si>
  <si>
    <t xml:space="preserve">      One Time Cost Interest Credit = Quarterly interest payments made by SCE (for pre and post-construction periods) related to customer One Time prepayments.  </t>
  </si>
  <si>
    <t xml:space="preserve">           Calculation begins on the date SCE receives prepayment.</t>
  </si>
  <si>
    <t>NPC Lenzie - Breakers (PAB004)</t>
  </si>
  <si>
    <t>SNWA - Breakers (PAB004)</t>
  </si>
  <si>
    <t>Magnolia (TOT067)</t>
  </si>
  <si>
    <t xml:space="preserve">Blythe (TOT094) </t>
  </si>
  <si>
    <t>Total Payments *</t>
  </si>
  <si>
    <t>Refunds to Date **</t>
  </si>
  <si>
    <t>All Totals ***</t>
  </si>
  <si>
    <t>2010 Recorded - Network Upgrade Credits</t>
  </si>
  <si>
    <t>2011 Recorded - Network Upgrade Credits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</si>
</sst>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_(&quot;$&quot;* #,##0_);_(&quot;$&quot;* \(#,##0\);_(&quot;$&quot;* &quot;-&quot;??_);_(@_)"/>
    <numFmt numFmtId="167" formatCode="&quot;$&quot;#,##0.00"/>
    <numFmt numFmtId="170" formatCode="m/d/yyyy;@"/>
    <numFmt numFmtId="171" formatCode="mm/dd/yy;@"/>
    <numFmt numFmtId="200" formatCode="_(&quot;$&quot;* #,##0.000000_);_(&quot;$&quot;* \(#,##0.000000\);_(&quot;$&quot;* &quot;-&quot;??_);_(@_)"/>
  </numFmts>
  <fonts count="19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408">
    <xf numFmtId="0" fontId="0" fillId="0" borderId="0" xfId="0"/>
    <xf numFmtId="0" fontId="6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7" fontId="6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2" borderId="1" xfId="0" applyFont="1" applyFill="1" applyBorder="1"/>
    <xf numFmtId="171" fontId="6" fillId="0" borderId="0" xfId="0" applyNumberFormat="1" applyFont="1" applyFill="1" applyAlignment="1">
      <alignment horizontal="center"/>
    </xf>
    <xf numFmtId="171" fontId="6" fillId="0" borderId="0" xfId="0" applyNumberFormat="1" applyFont="1" applyFill="1" applyAlignment="1">
      <alignment horizontal="center" wrapText="1"/>
    </xf>
    <xf numFmtId="44" fontId="6" fillId="0" borderId="0" xfId="3" applyFont="1" applyFill="1" applyAlignment="1">
      <alignment horizontal="center"/>
    </xf>
    <xf numFmtId="171" fontId="6" fillId="0" borderId="3" xfId="0" applyNumberFormat="1" applyFont="1" applyFill="1" applyBorder="1" applyAlignment="1">
      <alignment horizontal="center"/>
    </xf>
    <xf numFmtId="17" fontId="6" fillId="0" borderId="4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14" fontId="4" fillId="0" borderId="0" xfId="0" applyNumberFormat="1" applyFont="1" applyFill="1"/>
    <xf numFmtId="171" fontId="6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70" fontId="10" fillId="0" borderId="0" xfId="0" applyNumberFormat="1" applyFont="1" applyFill="1" applyAlignment="1">
      <alignment horizontal="center"/>
    </xf>
    <xf numFmtId="0" fontId="10" fillId="0" borderId="5" xfId="0" applyFont="1" applyFill="1" applyBorder="1" applyAlignment="1">
      <alignment horizontal="center"/>
    </xf>
    <xf numFmtId="4" fontId="10" fillId="0" borderId="5" xfId="0" applyNumberFormat="1" applyFont="1" applyFill="1" applyBorder="1"/>
    <xf numFmtId="0" fontId="9" fillId="0" borderId="0" xfId="0" applyFont="1" applyFill="1" applyAlignment="1">
      <alignment horizontal="right"/>
    </xf>
    <xf numFmtId="14" fontId="9" fillId="0" borderId="0" xfId="0" applyNumberFormat="1" applyFont="1" applyFill="1"/>
    <xf numFmtId="0" fontId="9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4" fontId="10" fillId="0" borderId="2" xfId="1" applyNumberFormat="1" applyFont="1" applyFill="1" applyBorder="1"/>
    <xf numFmtId="0" fontId="10" fillId="0" borderId="0" xfId="0" applyFont="1" applyFill="1" applyBorder="1" applyAlignment="1">
      <alignment horizontal="center"/>
    </xf>
    <xf numFmtId="1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9" fillId="0" borderId="0" xfId="0" applyFont="1" applyFill="1" applyBorder="1" applyAlignment="1"/>
    <xf numFmtId="0" fontId="9" fillId="0" borderId="6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wrapText="1"/>
    </xf>
    <xf numFmtId="0" fontId="7" fillId="0" borderId="0" xfId="0" applyNumberFormat="1" applyFont="1" applyFill="1" applyAlignment="1">
      <alignment horizontal="center"/>
    </xf>
    <xf numFmtId="44" fontId="6" fillId="0" borderId="0" xfId="3" applyFont="1" applyFill="1"/>
    <xf numFmtId="44" fontId="6" fillId="0" borderId="3" xfId="3" applyFont="1" applyFill="1" applyBorder="1"/>
    <xf numFmtId="0" fontId="1" fillId="0" borderId="0" xfId="0" applyFont="1" applyFill="1"/>
    <xf numFmtId="44" fontId="10" fillId="0" borderId="0" xfId="3" applyFont="1" applyFill="1"/>
    <xf numFmtId="44" fontId="10" fillId="0" borderId="0" xfId="3" applyFont="1" applyFill="1" applyBorder="1"/>
    <xf numFmtId="44" fontId="10" fillId="0" borderId="0" xfId="0" applyNumberFormat="1" applyFont="1" applyFill="1"/>
    <xf numFmtId="44" fontId="10" fillId="0" borderId="3" xfId="3" applyFont="1" applyFill="1" applyBorder="1"/>
    <xf numFmtId="44" fontId="10" fillId="0" borderId="5" xfId="0" applyNumberFormat="1" applyFont="1" applyFill="1" applyBorder="1"/>
    <xf numFmtId="0" fontId="9" fillId="0" borderId="0" xfId="0" applyFont="1" applyFill="1" applyAlignment="1">
      <alignment horizontal="center"/>
    </xf>
    <xf numFmtId="14" fontId="10" fillId="0" borderId="0" xfId="0" applyNumberFormat="1" applyFont="1" applyFill="1" applyAlignment="1">
      <alignment horizontal="center"/>
    </xf>
    <xf numFmtId="4" fontId="10" fillId="0" borderId="2" xfId="0" applyNumberFormat="1" applyFont="1" applyFill="1" applyBorder="1"/>
    <xf numFmtId="4" fontId="10" fillId="0" borderId="2" xfId="0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center"/>
    </xf>
    <xf numFmtId="44" fontId="6" fillId="0" borderId="0" xfId="3" applyFont="1" applyFill="1" applyBorder="1"/>
    <xf numFmtId="43" fontId="10" fillId="0" borderId="0" xfId="0" applyNumberFormat="1" applyFont="1" applyFill="1"/>
    <xf numFmtId="4" fontId="10" fillId="0" borderId="0" xfId="0" applyNumberFormat="1" applyFont="1" applyFill="1"/>
    <xf numFmtId="39" fontId="10" fillId="0" borderId="0" xfId="0" applyNumberFormat="1" applyFont="1" applyFill="1"/>
    <xf numFmtId="0" fontId="11" fillId="0" borderId="0" xfId="0" applyFont="1" applyFill="1" applyAlignment="1">
      <alignment horizontal="left" vertical="center"/>
    </xf>
    <xf numFmtId="0" fontId="13" fillId="0" borderId="0" xfId="0" applyFont="1" applyFill="1"/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wrapText="1"/>
    </xf>
    <xf numFmtId="3" fontId="10" fillId="0" borderId="0" xfId="0" applyNumberFormat="1" applyFont="1" applyFill="1" applyAlignment="1">
      <alignment horizontal="center" vertical="top" wrapText="1"/>
    </xf>
    <xf numFmtId="170" fontId="10" fillId="0" borderId="0" xfId="0" applyNumberFormat="1" applyFont="1" applyFill="1" applyAlignment="1">
      <alignment horizontal="center" vertical="top" wrapText="1"/>
    </xf>
    <xf numFmtId="4" fontId="10" fillId="0" borderId="0" xfId="0" applyNumberFormat="1" applyFont="1" applyFill="1" applyAlignment="1">
      <alignment vertical="top" wrapText="1"/>
    </xf>
    <xf numFmtId="0" fontId="10" fillId="0" borderId="5" xfId="0" applyFont="1" applyFill="1" applyBorder="1"/>
    <xf numFmtId="3" fontId="3" fillId="0" borderId="0" xfId="0" applyNumberFormat="1" applyFont="1" applyFill="1" applyAlignment="1">
      <alignment vertical="top" wrapText="1"/>
    </xf>
    <xf numFmtId="14" fontId="3" fillId="0" borderId="0" xfId="0" applyNumberFormat="1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14" fontId="14" fillId="0" borderId="0" xfId="0" applyNumberFormat="1" applyFont="1" applyFill="1" applyAlignment="1">
      <alignment vertical="top" wrapText="1"/>
    </xf>
    <xf numFmtId="0" fontId="15" fillId="0" borderId="0" xfId="0" applyFont="1" applyFill="1"/>
    <xf numFmtId="0" fontId="9" fillId="0" borderId="7" xfId="0" applyFont="1" applyFill="1" applyBorder="1" applyAlignment="1">
      <alignment horizontal="center" wrapText="1"/>
    </xf>
    <xf numFmtId="17" fontId="10" fillId="0" borderId="0" xfId="0" applyNumberFormat="1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right"/>
    </xf>
    <xf numFmtId="4" fontId="10" fillId="0" borderId="0" xfId="1" applyNumberFormat="1" applyFont="1" applyFill="1" applyBorder="1"/>
    <xf numFmtId="4" fontId="10" fillId="0" borderId="0" xfId="0" applyNumberFormat="1" applyFont="1" applyFill="1" applyBorder="1"/>
    <xf numFmtId="167" fontId="9" fillId="0" borderId="0" xfId="1" applyNumberFormat="1" applyFont="1" applyFill="1"/>
    <xf numFmtId="14" fontId="10" fillId="0" borderId="0" xfId="0" applyNumberFormat="1" applyFont="1" applyFill="1" applyAlignment="1">
      <alignment horizontal="center" wrapText="1"/>
    </xf>
    <xf numFmtId="4" fontId="10" fillId="0" borderId="0" xfId="1" applyNumberFormat="1" applyFont="1" applyFill="1"/>
    <xf numFmtId="4" fontId="10" fillId="0" borderId="3" xfId="1" applyNumberFormat="1" applyFont="1" applyFill="1" applyBorder="1"/>
    <xf numFmtId="4" fontId="9" fillId="0" borderId="0" xfId="1" applyNumberFormat="1" applyFont="1" applyFill="1"/>
    <xf numFmtId="4" fontId="9" fillId="0" borderId="0" xfId="0" applyNumberFormat="1" applyFont="1" applyFill="1"/>
    <xf numFmtId="0" fontId="10" fillId="0" borderId="0" xfId="0" applyFont="1" applyFill="1" applyAlignment="1">
      <alignment horizontal="right"/>
    </xf>
    <xf numFmtId="14" fontId="10" fillId="0" borderId="0" xfId="0" applyNumberFormat="1" applyFont="1" applyFill="1"/>
    <xf numFmtId="17" fontId="10" fillId="0" borderId="8" xfId="0" applyNumberFormat="1" applyFont="1" applyFill="1" applyBorder="1" applyAlignment="1">
      <alignment horizontal="center"/>
    </xf>
    <xf numFmtId="14" fontId="10" fillId="0" borderId="8" xfId="0" applyNumberFormat="1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4" fontId="10" fillId="0" borderId="8" xfId="0" applyNumberFormat="1" applyFont="1" applyFill="1" applyBorder="1" applyAlignment="1">
      <alignment horizontal="center"/>
    </xf>
    <xf numFmtId="17" fontId="9" fillId="0" borderId="9" xfId="0" applyNumberFormat="1" applyFont="1" applyFill="1" applyBorder="1" applyAlignment="1">
      <alignment horizontal="center"/>
    </xf>
    <xf numFmtId="14" fontId="9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" fontId="9" fillId="0" borderId="9" xfId="0" applyNumberFormat="1" applyFont="1" applyFill="1" applyBorder="1" applyAlignment="1">
      <alignment horizontal="center"/>
    </xf>
    <xf numFmtId="4" fontId="9" fillId="0" borderId="9" xfId="1" applyNumberFormat="1" applyFont="1" applyFill="1" applyBorder="1"/>
    <xf numFmtId="4" fontId="9" fillId="0" borderId="9" xfId="0" applyNumberFormat="1" applyFont="1" applyFill="1" applyBorder="1"/>
    <xf numFmtId="39" fontId="10" fillId="0" borderId="0" xfId="0" applyNumberFormat="1" applyFont="1" applyFill="1" applyAlignment="1">
      <alignment horizontal="center"/>
    </xf>
    <xf numFmtId="14" fontId="10" fillId="0" borderId="0" xfId="0" applyNumberFormat="1" applyFont="1" applyFill="1" applyAlignment="1">
      <alignment horizontal="right"/>
    </xf>
    <xf numFmtId="39" fontId="10" fillId="0" borderId="0" xfId="0" applyNumberFormat="1" applyFont="1" applyFill="1" applyBorder="1"/>
    <xf numFmtId="167" fontId="10" fillId="0" borderId="0" xfId="1" applyNumberFormat="1" applyFont="1" applyFill="1"/>
    <xf numFmtId="167" fontId="10" fillId="0" borderId="0" xfId="0" applyNumberFormat="1" applyFont="1" applyFill="1"/>
    <xf numFmtId="4" fontId="10" fillId="0" borderId="6" xfId="0" applyNumberFormat="1" applyFont="1" applyFill="1" applyBorder="1"/>
    <xf numFmtId="43" fontId="10" fillId="0" borderId="0" xfId="1" applyFont="1" applyFill="1"/>
    <xf numFmtId="43" fontId="10" fillId="0" borderId="0" xfId="0" applyNumberFormat="1" applyFont="1" applyFill="1" applyBorder="1"/>
    <xf numFmtId="17" fontId="10" fillId="0" borderId="10" xfId="0" applyNumberFormat="1" applyFont="1" applyFill="1" applyBorder="1" applyAlignment="1">
      <alignment horizontal="center"/>
    </xf>
    <xf numFmtId="14" fontId="10" fillId="0" borderId="11" xfId="0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4" fontId="10" fillId="0" borderId="11" xfId="0" applyNumberFormat="1" applyFont="1" applyFill="1" applyBorder="1" applyAlignment="1">
      <alignment horizontal="center"/>
    </xf>
    <xf numFmtId="4" fontId="10" fillId="0" borderId="11" xfId="0" applyNumberFormat="1" applyFont="1" applyFill="1" applyBorder="1" applyAlignment="1">
      <alignment horizontal="right"/>
    </xf>
    <xf numFmtId="4" fontId="10" fillId="0" borderId="11" xfId="1" applyNumberFormat="1" applyFont="1" applyFill="1" applyBorder="1"/>
    <xf numFmtId="4" fontId="10" fillId="0" borderId="12" xfId="1" applyNumberFormat="1" applyFont="1" applyFill="1" applyBorder="1"/>
    <xf numFmtId="17" fontId="10" fillId="0" borderId="13" xfId="0" applyNumberFormat="1" applyFont="1" applyFill="1" applyBorder="1" applyAlignment="1">
      <alignment horizontal="center"/>
    </xf>
    <xf numFmtId="14" fontId="10" fillId="0" borderId="14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4" fontId="10" fillId="0" borderId="14" xfId="0" applyNumberFormat="1" applyFont="1" applyFill="1" applyBorder="1" applyAlignment="1">
      <alignment horizontal="center"/>
    </xf>
    <xf numFmtId="4" fontId="10" fillId="0" borderId="14" xfId="0" applyNumberFormat="1" applyFont="1" applyFill="1" applyBorder="1" applyAlignment="1">
      <alignment horizontal="right"/>
    </xf>
    <xf numFmtId="4" fontId="10" fillId="0" borderId="14" xfId="1" applyNumberFormat="1" applyFont="1" applyFill="1" applyBorder="1"/>
    <xf numFmtId="4" fontId="10" fillId="0" borderId="15" xfId="1" applyNumberFormat="1" applyFont="1" applyFill="1" applyBorder="1"/>
    <xf numFmtId="4" fontId="10" fillId="0" borderId="16" xfId="1" applyNumberFormat="1" applyFont="1" applyFill="1" applyBorder="1"/>
    <xf numFmtId="17" fontId="9" fillId="0" borderId="13" xfId="0" applyNumberFormat="1" applyFont="1" applyFill="1" applyBorder="1" applyAlignment="1">
      <alignment horizontal="center"/>
    </xf>
    <xf numFmtId="14" fontId="9" fillId="0" borderId="14" xfId="0" applyNumberFormat="1" applyFont="1" applyFill="1" applyBorder="1" applyAlignment="1">
      <alignment horizontal="center"/>
    </xf>
    <xf numFmtId="0" fontId="10" fillId="0" borderId="14" xfId="0" applyFont="1" applyFill="1" applyBorder="1"/>
    <xf numFmtId="4" fontId="9" fillId="0" borderId="14" xfId="1" applyNumberFormat="1" applyFont="1" applyFill="1" applyBorder="1"/>
    <xf numFmtId="4" fontId="9" fillId="0" borderId="15" xfId="1" applyNumberFormat="1" applyFont="1" applyFill="1" applyBorder="1"/>
    <xf numFmtId="39" fontId="10" fillId="0" borderId="14" xfId="0" applyNumberFormat="1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14" fontId="10" fillId="0" borderId="18" xfId="0" applyNumberFormat="1" applyFont="1" applyFill="1" applyBorder="1" applyAlignment="1">
      <alignment horizontal="center"/>
    </xf>
    <xf numFmtId="0" fontId="10" fillId="0" borderId="18" xfId="0" applyFont="1" applyFill="1" applyBorder="1" applyAlignment="1">
      <alignment horizontal="center"/>
    </xf>
    <xf numFmtId="4" fontId="10" fillId="0" borderId="18" xfId="1" applyNumberFormat="1" applyFont="1" applyFill="1" applyBorder="1"/>
    <xf numFmtId="4" fontId="10" fillId="0" borderId="19" xfId="1" applyNumberFormat="1" applyFont="1" applyFill="1" applyBorder="1"/>
    <xf numFmtId="4" fontId="10" fillId="0" borderId="20" xfId="0" applyNumberFormat="1" applyFont="1" applyFill="1" applyBorder="1"/>
    <xf numFmtId="0" fontId="9" fillId="0" borderId="14" xfId="0" applyFont="1" applyFill="1" applyBorder="1" applyAlignment="1">
      <alignment horizontal="center"/>
    </xf>
    <xf numFmtId="43" fontId="10" fillId="0" borderId="14" xfId="0" applyNumberFormat="1" applyFont="1" applyFill="1" applyBorder="1"/>
    <xf numFmtId="43" fontId="10" fillId="0" borderId="18" xfId="0" applyNumberFormat="1" applyFont="1" applyFill="1" applyBorder="1"/>
    <xf numFmtId="39" fontId="10" fillId="0" borderId="18" xfId="0" applyNumberFormat="1" applyFont="1" applyFill="1" applyBorder="1"/>
    <xf numFmtId="39" fontId="10" fillId="0" borderId="6" xfId="0" applyNumberFormat="1" applyFont="1" applyFill="1" applyBorder="1"/>
    <xf numFmtId="4" fontId="9" fillId="0" borderId="21" xfId="0" applyNumberFormat="1" applyFont="1" applyFill="1" applyBorder="1"/>
    <xf numFmtId="4" fontId="10" fillId="0" borderId="7" xfId="0" applyNumberFormat="1" applyFont="1" applyFill="1" applyBorder="1"/>
    <xf numFmtId="0" fontId="10" fillId="0" borderId="6" xfId="0" applyFont="1" applyFill="1" applyBorder="1"/>
    <xf numFmtId="14" fontId="10" fillId="0" borderId="11" xfId="0" applyNumberFormat="1" applyFont="1" applyFill="1" applyBorder="1" applyAlignment="1">
      <alignment horizontal="center" wrapText="1"/>
    </xf>
    <xf numFmtId="14" fontId="10" fillId="0" borderId="14" xfId="0" applyNumberFormat="1" applyFont="1" applyFill="1" applyBorder="1" applyAlignment="1">
      <alignment horizontal="center" wrapText="1"/>
    </xf>
    <xf numFmtId="2" fontId="10" fillId="0" borderId="14" xfId="0" applyNumberFormat="1" applyFont="1" applyFill="1" applyBorder="1" applyAlignment="1">
      <alignment horizontal="center" wrapText="1"/>
    </xf>
    <xf numFmtId="0" fontId="10" fillId="0" borderId="15" xfId="0" applyFont="1" applyFill="1" applyBorder="1"/>
    <xf numFmtId="4" fontId="10" fillId="0" borderId="22" xfId="0" applyNumberFormat="1" applyFont="1" applyFill="1" applyBorder="1"/>
    <xf numFmtId="39" fontId="10" fillId="0" borderId="20" xfId="0" applyNumberFormat="1" applyFont="1" applyFill="1" applyBorder="1"/>
    <xf numFmtId="39" fontId="10" fillId="0" borderId="23" xfId="0" applyNumberFormat="1" applyFont="1" applyFill="1" applyBorder="1"/>
    <xf numFmtId="170" fontId="10" fillId="0" borderId="11" xfId="0" applyNumberFormat="1" applyFont="1" applyFill="1" applyBorder="1" applyAlignment="1">
      <alignment horizontal="center"/>
    </xf>
    <xf numFmtId="170" fontId="10" fillId="0" borderId="14" xfId="0" applyNumberFormat="1" applyFont="1" applyFill="1" applyBorder="1" applyAlignment="1">
      <alignment horizontal="center"/>
    </xf>
    <xf numFmtId="4" fontId="9" fillId="0" borderId="14" xfId="0" applyNumberFormat="1" applyFont="1" applyFill="1" applyBorder="1"/>
    <xf numFmtId="0" fontId="10" fillId="0" borderId="21" xfId="0" applyFont="1" applyFill="1" applyBorder="1"/>
    <xf numFmtId="2" fontId="10" fillId="0" borderId="11" xfId="0" applyNumberFormat="1" applyFont="1" applyFill="1" applyBorder="1" applyAlignment="1">
      <alignment horizontal="center" wrapText="1"/>
    </xf>
    <xf numFmtId="44" fontId="10" fillId="0" borderId="11" xfId="3" applyFont="1" applyFill="1" applyBorder="1" applyAlignment="1">
      <alignment horizontal="center" wrapText="1"/>
    </xf>
    <xf numFmtId="44" fontId="10" fillId="0" borderId="11" xfId="3" applyFont="1" applyFill="1" applyBorder="1"/>
    <xf numFmtId="44" fontId="10" fillId="0" borderId="12" xfId="3" applyFont="1" applyFill="1" applyBorder="1"/>
    <xf numFmtId="44" fontId="10" fillId="0" borderId="14" xfId="3" applyFont="1" applyFill="1" applyBorder="1" applyAlignment="1">
      <alignment horizontal="center" wrapText="1"/>
    </xf>
    <xf numFmtId="44" fontId="10" fillId="0" borderId="14" xfId="3" applyFont="1" applyFill="1" applyBorder="1"/>
    <xf numFmtId="44" fontId="10" fillId="0" borderId="15" xfId="3" applyFont="1" applyFill="1" applyBorder="1"/>
    <xf numFmtId="0" fontId="10" fillId="0" borderId="10" xfId="0" applyFont="1" applyFill="1" applyBorder="1" applyAlignment="1">
      <alignment horizontal="center"/>
    </xf>
    <xf numFmtId="39" fontId="10" fillId="0" borderId="11" xfId="0" applyNumberFormat="1" applyFont="1" applyFill="1" applyBorder="1" applyAlignment="1">
      <alignment horizontal="center"/>
    </xf>
    <xf numFmtId="43" fontId="10" fillId="0" borderId="11" xfId="0" applyNumberFormat="1" applyFont="1" applyFill="1" applyBorder="1"/>
    <xf numFmtId="39" fontId="10" fillId="0" borderId="22" xfId="0" applyNumberFormat="1" applyFont="1" applyFill="1" applyBorder="1"/>
    <xf numFmtId="0" fontId="6" fillId="0" borderId="10" xfId="0" applyFont="1" applyFill="1" applyBorder="1" applyAlignment="1">
      <alignment horizontal="center" wrapText="1"/>
    </xf>
    <xf numFmtId="171" fontId="6" fillId="0" borderId="11" xfId="0" applyNumberFormat="1" applyFont="1" applyFill="1" applyBorder="1" applyAlignment="1">
      <alignment horizontal="center" wrapText="1"/>
    </xf>
    <xf numFmtId="14" fontId="6" fillId="0" borderId="11" xfId="0" applyNumberFormat="1" applyFont="1" applyFill="1" applyBorder="1" applyAlignment="1">
      <alignment horizontal="center" wrapText="1"/>
    </xf>
    <xf numFmtId="0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43" fontId="6" fillId="0" borderId="11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14" fontId="6" fillId="0" borderId="14" xfId="0" applyNumberFormat="1" applyFont="1" applyFill="1" applyBorder="1" applyAlignment="1">
      <alignment horizontal="center" wrapText="1"/>
    </xf>
    <xf numFmtId="0" fontId="6" fillId="0" borderId="14" xfId="0" applyNumberFormat="1" applyFont="1" applyFill="1" applyBorder="1" applyAlignment="1">
      <alignment horizontal="center" wrapText="1"/>
    </xf>
    <xf numFmtId="2" fontId="6" fillId="0" borderId="14" xfId="0" applyNumberFormat="1" applyFont="1" applyFill="1" applyBorder="1" applyAlignment="1">
      <alignment horizontal="center" wrapText="1"/>
    </xf>
    <xf numFmtId="43" fontId="6" fillId="0" borderId="14" xfId="0" applyNumberFormat="1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17" fontId="6" fillId="0" borderId="13" xfId="0" applyNumberFormat="1" applyFont="1" applyFill="1" applyBorder="1" applyAlignment="1">
      <alignment horizontal="center"/>
    </xf>
    <xf numFmtId="14" fontId="6" fillId="0" borderId="14" xfId="0" applyNumberFormat="1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43" fontId="6" fillId="0" borderId="14" xfId="0" applyNumberFormat="1" applyFont="1" applyFill="1" applyBorder="1"/>
    <xf numFmtId="4" fontId="6" fillId="0" borderId="14" xfId="1" applyNumberFormat="1" applyFont="1" applyFill="1" applyBorder="1"/>
    <xf numFmtId="4" fontId="6" fillId="0" borderId="15" xfId="1" applyNumberFormat="1" applyFont="1" applyFill="1" applyBorder="1"/>
    <xf numFmtId="0" fontId="6" fillId="0" borderId="13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14" fontId="6" fillId="0" borderId="18" xfId="0" applyNumberFormat="1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43" fontId="6" fillId="0" borderId="18" xfId="0" applyNumberFormat="1" applyFont="1" applyFill="1" applyBorder="1"/>
    <xf numFmtId="4" fontId="6" fillId="0" borderId="18" xfId="1" applyNumberFormat="1" applyFont="1" applyFill="1" applyBorder="1"/>
    <xf numFmtId="4" fontId="6" fillId="0" borderId="19" xfId="1" applyNumberFormat="1" applyFont="1" applyFill="1" applyBorder="1"/>
    <xf numFmtId="14" fontId="6" fillId="0" borderId="10" xfId="0" applyNumberFormat="1" applyFont="1" applyFill="1" applyBorder="1" applyAlignment="1">
      <alignment horizontal="center"/>
    </xf>
    <xf numFmtId="14" fontId="6" fillId="0" borderId="11" xfId="0" applyNumberFormat="1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4" fontId="6" fillId="0" borderId="11" xfId="0" applyNumberFormat="1" applyFont="1" applyFill="1" applyBorder="1" applyAlignment="1">
      <alignment horizontal="center"/>
    </xf>
    <xf numFmtId="43" fontId="6" fillId="0" borderId="11" xfId="0" applyNumberFormat="1" applyFont="1" applyFill="1" applyBorder="1"/>
    <xf numFmtId="4" fontId="6" fillId="0" borderId="11" xfId="1" applyNumberFormat="1" applyFont="1" applyFill="1" applyBorder="1"/>
    <xf numFmtId="4" fontId="6" fillId="0" borderId="12" xfId="1" applyNumberFormat="1" applyFont="1" applyFill="1" applyBorder="1"/>
    <xf numFmtId="14" fontId="6" fillId="0" borderId="13" xfId="0" applyNumberFormat="1" applyFont="1" applyFill="1" applyBorder="1" applyAlignment="1">
      <alignment horizontal="center"/>
    </xf>
    <xf numFmtId="4" fontId="6" fillId="0" borderId="14" xfId="0" applyNumberFormat="1" applyFont="1" applyFill="1" applyBorder="1" applyAlignment="1">
      <alignment horizontal="center"/>
    </xf>
    <xf numFmtId="4" fontId="6" fillId="0" borderId="16" xfId="1" applyNumberFormat="1" applyFont="1" applyFill="1" applyBorder="1"/>
    <xf numFmtId="4" fontId="6" fillId="0" borderId="22" xfId="0" applyNumberFormat="1" applyFont="1" applyFill="1" applyBorder="1"/>
    <xf numFmtId="4" fontId="6" fillId="0" borderId="20" xfId="0" applyNumberFormat="1" applyFont="1" applyFill="1" applyBorder="1"/>
    <xf numFmtId="43" fontId="6" fillId="0" borderId="22" xfId="0" applyNumberFormat="1" applyFont="1" applyFill="1" applyBorder="1" applyAlignment="1">
      <alignment horizontal="center" wrapText="1"/>
    </xf>
    <xf numFmtId="43" fontId="6" fillId="0" borderId="20" xfId="0" applyNumberFormat="1" applyFont="1" applyFill="1" applyBorder="1" applyAlignment="1">
      <alignment horizontal="center" wrapText="1"/>
    </xf>
    <xf numFmtId="17" fontId="6" fillId="0" borderId="10" xfId="0" applyNumberFormat="1" applyFont="1" applyFill="1" applyBorder="1" applyAlignment="1">
      <alignment horizontal="center"/>
    </xf>
    <xf numFmtId="4" fontId="4" fillId="0" borderId="14" xfId="1" applyNumberFormat="1" applyFont="1" applyFill="1" applyBorder="1"/>
    <xf numFmtId="4" fontId="4" fillId="0" borderId="14" xfId="0" applyNumberFormat="1" applyFont="1" applyFill="1" applyBorder="1"/>
    <xf numFmtId="8" fontId="0" fillId="0" borderId="0" xfId="0" applyNumberFormat="1"/>
    <xf numFmtId="8" fontId="0" fillId="2" borderId="1" xfId="0" applyNumberFormat="1" applyFill="1" applyBorder="1" applyAlignment="1">
      <alignment horizontal="center"/>
    </xf>
    <xf numFmtId="8" fontId="3" fillId="0" borderId="0" xfId="0" applyNumberFormat="1" applyFont="1" applyFill="1" applyBorder="1" applyAlignment="1">
      <alignment horizontal="right"/>
    </xf>
    <xf numFmtId="8" fontId="3" fillId="0" borderId="0" xfId="0" applyNumberFormat="1" applyFont="1" applyBorder="1" applyAlignment="1">
      <alignment horizontal="center"/>
    </xf>
    <xf numFmtId="0" fontId="0" fillId="0" borderId="5" xfId="0" applyBorder="1"/>
    <xf numFmtId="8" fontId="3" fillId="0" borderId="24" xfId="0" applyNumberFormat="1" applyFont="1" applyFill="1" applyBorder="1" applyAlignment="1">
      <alignment horizontal="right"/>
    </xf>
    <xf numFmtId="8" fontId="3" fillId="0" borderId="24" xfId="0" applyNumberFormat="1" applyFont="1" applyFill="1" applyBorder="1" applyAlignment="1"/>
    <xf numFmtId="44" fontId="3" fillId="0" borderId="24" xfId="0" applyNumberFormat="1" applyFont="1" applyFill="1" applyBorder="1" applyAlignment="1">
      <alignment horizontal="right"/>
    </xf>
    <xf numFmtId="0" fontId="0" fillId="0" borderId="0" xfId="0" applyFill="1"/>
    <xf numFmtId="44" fontId="1" fillId="0" borderId="0" xfId="3" applyFont="1" applyFill="1" applyBorder="1"/>
    <xf numFmtId="44" fontId="1" fillId="0" borderId="0" xfId="3" applyFont="1" applyFill="1"/>
    <xf numFmtId="44" fontId="1" fillId="0" borderId="0" xfId="0" applyNumberFormat="1" applyFont="1" applyFill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4" xfId="0" applyNumberFormat="1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43" fontId="1" fillId="0" borderId="14" xfId="0" applyNumberFormat="1" applyFont="1" applyFill="1" applyBorder="1"/>
    <xf numFmtId="0" fontId="1" fillId="0" borderId="18" xfId="0" applyNumberFormat="1" applyFont="1" applyFill="1" applyBorder="1" applyAlignment="1">
      <alignment horizontal="center"/>
    </xf>
    <xf numFmtId="39" fontId="1" fillId="0" borderId="18" xfId="0" applyNumberFormat="1" applyFont="1" applyFill="1" applyBorder="1"/>
    <xf numFmtId="43" fontId="1" fillId="0" borderId="0" xfId="1"/>
    <xf numFmtId="0" fontId="6" fillId="0" borderId="25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8" fontId="3" fillId="0" borderId="27" xfId="0" applyNumberFormat="1" applyFont="1" applyFill="1" applyBorder="1" applyAlignment="1">
      <alignment horizontal="right"/>
    </xf>
    <xf numFmtId="8" fontId="3" fillId="0" borderId="27" xfId="0" applyNumberFormat="1" applyFont="1" applyFill="1" applyBorder="1" applyAlignment="1"/>
    <xf numFmtId="44" fontId="3" fillId="0" borderId="27" xfId="0" applyNumberFormat="1" applyFont="1" applyFill="1" applyBorder="1" applyAlignment="1">
      <alignment horizontal="right"/>
    </xf>
    <xf numFmtId="0" fontId="3" fillId="0" borderId="1" xfId="0" applyFont="1" applyBorder="1"/>
    <xf numFmtId="8" fontId="3" fillId="0" borderId="1" xfId="0" applyNumberFormat="1" applyFont="1" applyFill="1" applyBorder="1" applyAlignment="1">
      <alignment horizontal="right"/>
    </xf>
    <xf numFmtId="8" fontId="3" fillId="0" borderId="1" xfId="0" applyNumberFormat="1" applyFont="1" applyBorder="1" applyAlignment="1">
      <alignment horizontal="right"/>
    </xf>
    <xf numFmtId="8" fontId="3" fillId="0" borderId="1" xfId="0" applyNumberFormat="1" applyFont="1" applyBorder="1" applyAlignment="1">
      <alignment horizontal="center"/>
    </xf>
    <xf numFmtId="8" fontId="3" fillId="0" borderId="1" xfId="0" applyNumberFormat="1" applyFont="1" applyFill="1" applyBorder="1" applyAlignment="1"/>
    <xf numFmtId="8" fontId="3" fillId="0" borderId="1" xfId="0" applyNumberFormat="1" applyFont="1" applyBorder="1" applyAlignment="1"/>
    <xf numFmtId="4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4" fontId="3" fillId="0" borderId="1" xfId="0" applyNumberFormat="1" applyFont="1" applyFill="1" applyBorder="1" applyAlignment="1">
      <alignment horizontal="right"/>
    </xf>
    <xf numFmtId="8" fontId="3" fillId="0" borderId="28" xfId="0" applyNumberFormat="1" applyFont="1" applyFill="1" applyBorder="1" applyAlignment="1">
      <alignment horizontal="right"/>
    </xf>
    <xf numFmtId="44" fontId="10" fillId="0" borderId="5" xfId="3" applyFont="1" applyFill="1" applyBorder="1"/>
    <xf numFmtId="0" fontId="10" fillId="0" borderId="29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4" fillId="0" borderId="30" xfId="0" applyFont="1" applyFill="1" applyBorder="1" applyAlignment="1">
      <alignment horizontal="center" wrapText="1"/>
    </xf>
    <xf numFmtId="4" fontId="10" fillId="0" borderId="31" xfId="1" applyNumberFormat="1" applyFont="1" applyFill="1" applyBorder="1"/>
    <xf numFmtId="0" fontId="5" fillId="0" borderId="0" xfId="0" applyFont="1" applyFill="1" applyBorder="1" applyAlignment="1">
      <alignment horizontal="center"/>
    </xf>
    <xf numFmtId="0" fontId="0" fillId="0" borderId="0" xfId="0" applyFill="1" applyBorder="1"/>
    <xf numFmtId="0" fontId="6" fillId="0" borderId="9" xfId="0" applyFont="1" applyFill="1" applyBorder="1" applyAlignment="1">
      <alignment horizontal="center"/>
    </xf>
    <xf numFmtId="0" fontId="9" fillId="0" borderId="14" xfId="0" applyFont="1" applyFill="1" applyBorder="1" applyAlignment="1"/>
    <xf numFmtId="4" fontId="9" fillId="0" borderId="15" xfId="0" applyNumberFormat="1" applyFont="1" applyFill="1" applyBorder="1"/>
    <xf numFmtId="0" fontId="1" fillId="0" borderId="18" xfId="0" applyFont="1" applyFill="1" applyBorder="1" applyAlignment="1">
      <alignment horizontal="center"/>
    </xf>
    <xf numFmtId="14" fontId="1" fillId="0" borderId="11" xfId="0" applyNumberFormat="1" applyFont="1" applyFill="1" applyBorder="1" applyAlignment="1">
      <alignment horizontal="center"/>
    </xf>
    <xf numFmtId="43" fontId="1" fillId="0" borderId="22" xfId="0" applyNumberFormat="1" applyFont="1" applyFill="1" applyBorder="1"/>
    <xf numFmtId="14" fontId="1" fillId="0" borderId="14" xfId="0" applyNumberFormat="1" applyFont="1" applyFill="1" applyBorder="1" applyAlignment="1">
      <alignment horizontal="center"/>
    </xf>
    <xf numFmtId="166" fontId="1" fillId="0" borderId="14" xfId="3" applyNumberFormat="1" applyFont="1" applyFill="1" applyBorder="1"/>
    <xf numFmtId="166" fontId="1" fillId="0" borderId="15" xfId="3" applyNumberFormat="1" applyFont="1" applyFill="1" applyBorder="1"/>
    <xf numFmtId="166" fontId="1" fillId="0" borderId="18" xfId="3" applyNumberFormat="1" applyFont="1" applyFill="1" applyBorder="1"/>
    <xf numFmtId="166" fontId="1" fillId="0" borderId="19" xfId="3" applyNumberFormat="1" applyFont="1" applyFill="1" applyBorder="1"/>
    <xf numFmtId="0" fontId="4" fillId="0" borderId="7" xfId="0" applyFont="1" applyFill="1" applyBorder="1" applyAlignment="1">
      <alignment horizontal="center" wrapText="1"/>
    </xf>
    <xf numFmtId="4" fontId="1" fillId="0" borderId="14" xfId="0" applyNumberFormat="1" applyFont="1" applyFill="1" applyBorder="1"/>
    <xf numFmtId="43" fontId="1" fillId="0" borderId="14" xfId="1" applyFont="1" applyFill="1" applyBorder="1"/>
    <xf numFmtId="39" fontId="1" fillId="0" borderId="14" xfId="0" applyNumberFormat="1" applyFont="1" applyFill="1" applyBorder="1"/>
    <xf numFmtId="44" fontId="3" fillId="0" borderId="27" xfId="0" applyNumberFormat="1" applyFont="1" applyFill="1" applyBorder="1" applyAlignment="1"/>
    <xf numFmtId="0" fontId="4" fillId="0" borderId="1" xfId="0" applyFont="1" applyFill="1" applyBorder="1"/>
    <xf numFmtId="0" fontId="3" fillId="0" borderId="1" xfId="0" applyFont="1" applyFill="1" applyBorder="1" applyAlignment="1">
      <alignment horizontal="right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wrapText="1"/>
    </xf>
    <xf numFmtId="167" fontId="6" fillId="0" borderId="0" xfId="0" applyNumberFormat="1" applyFont="1" applyFill="1"/>
    <xf numFmtId="167" fontId="6" fillId="0" borderId="0" xfId="0" applyNumberFormat="1" applyFont="1" applyFill="1" applyBorder="1"/>
    <xf numFmtId="0" fontId="9" fillId="0" borderId="0" xfId="0" applyFont="1" applyFill="1" applyBorder="1" applyAlignment="1">
      <alignment horizontal="center" wrapText="1"/>
    </xf>
    <xf numFmtId="8" fontId="10" fillId="0" borderId="0" xfId="0" applyNumberFormat="1" applyFont="1" applyFill="1"/>
    <xf numFmtId="0" fontId="17" fillId="0" borderId="0" xfId="0" applyFont="1" applyFill="1"/>
    <xf numFmtId="166" fontId="0" fillId="0" borderId="0" xfId="3" applyNumberFormat="1" applyFont="1" applyFill="1" applyBorder="1"/>
    <xf numFmtId="0" fontId="10" fillId="0" borderId="32" xfId="0" applyFont="1" applyFill="1" applyBorder="1"/>
    <xf numFmtId="0" fontId="10" fillId="0" borderId="33" xfId="0" applyFont="1" applyFill="1" applyBorder="1"/>
    <xf numFmtId="0" fontId="10" fillId="0" borderId="34" xfId="0" applyFont="1" applyFill="1" applyBorder="1"/>
    <xf numFmtId="0" fontId="10" fillId="0" borderId="35" xfId="0" applyFont="1" applyFill="1" applyBorder="1"/>
    <xf numFmtId="0" fontId="10" fillId="0" borderId="36" xfId="0" applyFont="1" applyFill="1" applyBorder="1"/>
    <xf numFmtId="166" fontId="6" fillId="0" borderId="0" xfId="0" applyNumberFormat="1" applyFont="1" applyFill="1"/>
    <xf numFmtId="166" fontId="10" fillId="0" borderId="0" xfId="3" applyNumberFormat="1" applyFont="1" applyFill="1" applyBorder="1"/>
    <xf numFmtId="0" fontId="6" fillId="0" borderId="32" xfId="0" applyFont="1" applyFill="1" applyBorder="1"/>
    <xf numFmtId="166" fontId="6" fillId="0" borderId="35" xfId="0" applyNumberFormat="1" applyFont="1" applyFill="1" applyBorder="1"/>
    <xf numFmtId="0" fontId="6" fillId="0" borderId="0" xfId="0" applyFont="1" applyFill="1" applyBorder="1"/>
    <xf numFmtId="44" fontId="6" fillId="0" borderId="0" xfId="0" applyNumberFormat="1" applyFont="1" applyFill="1"/>
    <xf numFmtId="8" fontId="6" fillId="2" borderId="1" xfId="0" applyNumberFormat="1" applyFont="1" applyFill="1" applyBorder="1" applyAlignment="1">
      <alignment horizontal="center"/>
    </xf>
    <xf numFmtId="0" fontId="10" fillId="0" borderId="0" xfId="0" applyNumberFormat="1" applyFont="1" applyFill="1"/>
    <xf numFmtId="0" fontId="6" fillId="0" borderId="0" xfId="3" applyNumberFormat="1" applyFont="1" applyFill="1" applyBorder="1"/>
    <xf numFmtId="0" fontId="16" fillId="0" borderId="0" xfId="0" applyFont="1" applyFill="1"/>
    <xf numFmtId="0" fontId="0" fillId="0" borderId="0" xfId="0" applyFont="1" applyFill="1"/>
    <xf numFmtId="44" fontId="6" fillId="0" borderId="14" xfId="3" applyFont="1" applyFill="1" applyBorder="1"/>
    <xf numFmtId="44" fontId="6" fillId="0" borderId="15" xfId="3" applyFont="1" applyFill="1" applyBorder="1"/>
    <xf numFmtId="44" fontId="6" fillId="0" borderId="7" xfId="3" applyFont="1" applyFill="1" applyBorder="1" applyAlignment="1">
      <alignment horizontal="center" wrapText="1"/>
    </xf>
    <xf numFmtId="0" fontId="8" fillId="0" borderId="0" xfId="0" applyFont="1" applyFill="1" applyAlignment="1"/>
    <xf numFmtId="44" fontId="6" fillId="0" borderId="0" xfId="4" applyFont="1" applyFill="1"/>
    <xf numFmtId="44" fontId="6" fillId="0" borderId="0" xfId="4" applyFont="1" applyFill="1" applyBorder="1"/>
    <xf numFmtId="0" fontId="18" fillId="0" borderId="0" xfId="0" applyFont="1" applyFill="1" applyAlignment="1"/>
    <xf numFmtId="44" fontId="0" fillId="0" borderId="0" xfId="4" applyFont="1" applyFill="1"/>
    <xf numFmtId="43" fontId="6" fillId="0" borderId="0" xfId="2" applyFont="1" applyFill="1"/>
    <xf numFmtId="44" fontId="6" fillId="0" borderId="3" xfId="4" applyFont="1" applyFill="1" applyBorder="1"/>
    <xf numFmtId="44" fontId="6" fillId="0" borderId="5" xfId="0" applyNumberFormat="1" applyFont="1" applyFill="1" applyBorder="1"/>
    <xf numFmtId="14" fontId="6" fillId="0" borderId="0" xfId="0" applyNumberFormat="1" applyFont="1" applyFill="1" applyAlignment="1">
      <alignment horizontal="center"/>
    </xf>
    <xf numFmtId="4" fontId="6" fillId="0" borderId="11" xfId="2" applyNumberFormat="1" applyFont="1" applyFill="1" applyBorder="1"/>
    <xf numFmtId="4" fontId="6" fillId="0" borderId="12" xfId="2" applyNumberFormat="1" applyFont="1" applyFill="1" applyBorder="1"/>
    <xf numFmtId="4" fontId="6" fillId="0" borderId="14" xfId="2" applyNumberFormat="1" applyFont="1" applyFill="1" applyBorder="1"/>
    <xf numFmtId="4" fontId="6" fillId="0" borderId="15" xfId="2" applyNumberFormat="1" applyFont="1" applyFill="1" applyBorder="1"/>
    <xf numFmtId="4" fontId="4" fillId="0" borderId="14" xfId="2" applyNumberFormat="1" applyFont="1" applyFill="1" applyBorder="1"/>
    <xf numFmtId="0" fontId="6" fillId="0" borderId="21" xfId="0" applyFont="1" applyFill="1" applyBorder="1"/>
    <xf numFmtId="4" fontId="6" fillId="0" borderId="16" xfId="2" applyNumberFormat="1" applyFont="1" applyFill="1" applyBorder="1"/>
    <xf numFmtId="0" fontId="6" fillId="0" borderId="6" xfId="0" applyFont="1" applyFill="1" applyBorder="1"/>
    <xf numFmtId="1" fontId="6" fillId="0" borderId="0" xfId="0" applyNumberFormat="1" applyFont="1" applyFill="1"/>
    <xf numFmtId="4" fontId="6" fillId="0" borderId="18" xfId="2" applyNumberFormat="1" applyFont="1" applyFill="1" applyBorder="1"/>
    <xf numFmtId="4" fontId="6" fillId="0" borderId="19" xfId="2" applyNumberFormat="1" applyFont="1" applyFill="1" applyBorder="1"/>
    <xf numFmtId="4" fontId="6" fillId="0" borderId="0" xfId="0" applyNumberFormat="1" applyFont="1" applyFill="1"/>
    <xf numFmtId="166" fontId="0" fillId="0" borderId="0" xfId="4" applyNumberFormat="1" applyFont="1" applyFill="1" applyBorder="1"/>
    <xf numFmtId="0" fontId="6" fillId="0" borderId="33" xfId="0" applyFont="1" applyFill="1" applyBorder="1"/>
    <xf numFmtId="166" fontId="6" fillId="0" borderId="0" xfId="4" applyNumberFormat="1" applyFont="1" applyFill="1" applyBorder="1"/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6" xfId="0" applyFont="1" applyFill="1" applyBorder="1"/>
    <xf numFmtId="166" fontId="3" fillId="0" borderId="24" xfId="0" applyNumberFormat="1" applyFont="1" applyFill="1" applyBorder="1" applyAlignment="1"/>
    <xf numFmtId="166" fontId="0" fillId="0" borderId="0" xfId="0" applyNumberFormat="1"/>
    <xf numFmtId="166" fontId="3" fillId="0" borderId="0" xfId="0" applyNumberFormat="1" applyFont="1" applyFill="1" applyBorder="1" applyAlignment="1">
      <alignment horizontal="right"/>
    </xf>
    <xf numFmtId="166" fontId="0" fillId="2" borderId="1" xfId="0" applyNumberFormat="1" applyFill="1" applyBorder="1" applyAlignment="1">
      <alignment horizontal="center"/>
    </xf>
    <xf numFmtId="166" fontId="0" fillId="0" borderId="0" xfId="0" applyNumberFormat="1" applyFill="1"/>
    <xf numFmtId="166" fontId="3" fillId="0" borderId="24" xfId="0" applyNumberFormat="1" applyFont="1" applyFill="1" applyBorder="1" applyAlignment="1">
      <alignment horizontal="right"/>
    </xf>
    <xf numFmtId="166" fontId="3" fillId="0" borderId="27" xfId="0" applyNumberFormat="1" applyFont="1" applyFill="1" applyBorder="1" applyAlignment="1"/>
    <xf numFmtId="166" fontId="3" fillId="0" borderId="27" xfId="0" applyNumberFormat="1" applyFont="1" applyFill="1" applyBorder="1" applyAlignment="1">
      <alignment horizontal="right"/>
    </xf>
    <xf numFmtId="167" fontId="3" fillId="0" borderId="0" xfId="0" applyNumberFormat="1" applyFont="1"/>
    <xf numFmtId="4" fontId="4" fillId="0" borderId="0" xfId="0" applyNumberFormat="1" applyFont="1" applyFill="1"/>
    <xf numFmtId="4" fontId="4" fillId="0" borderId="15" xfId="1" applyNumberFormat="1" applyFont="1" applyFill="1" applyBorder="1"/>
    <xf numFmtId="14" fontId="1" fillId="0" borderId="0" xfId="0" applyNumberFormat="1" applyFont="1" applyFill="1"/>
    <xf numFmtId="0" fontId="14" fillId="0" borderId="0" xfId="0" applyFont="1" applyFill="1" applyBorder="1"/>
    <xf numFmtId="8" fontId="6" fillId="2" borderId="37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/>
    <xf numFmtId="200" fontId="3" fillId="0" borderId="24" xfId="0" applyNumberFormat="1" applyFont="1" applyFill="1" applyBorder="1" applyAlignment="1"/>
    <xf numFmtId="0" fontId="5" fillId="3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0" fontId="6" fillId="3" borderId="0" xfId="0" applyFont="1" applyFill="1"/>
    <xf numFmtId="0" fontId="6" fillId="0" borderId="0" xfId="0" applyFont="1"/>
    <xf numFmtId="0" fontId="6" fillId="0" borderId="1" xfId="0" applyFont="1" applyBorder="1"/>
    <xf numFmtId="8" fontId="6" fillId="0" borderId="1" xfId="0" applyNumberFormat="1" applyFont="1" applyBorder="1"/>
    <xf numFmtId="8" fontId="6" fillId="0" borderId="0" xfId="0" applyNumberFormat="1" applyFont="1"/>
    <xf numFmtId="43" fontId="6" fillId="0" borderId="0" xfId="1" applyFont="1"/>
    <xf numFmtId="0" fontId="6" fillId="0" borderId="5" xfId="0" applyFont="1" applyBorder="1"/>
    <xf numFmtId="8" fontId="0" fillId="0" borderId="0" xfId="0" applyNumberFormat="1" applyAlignment="1">
      <alignment horizontal="center"/>
    </xf>
    <xf numFmtId="14" fontId="6" fillId="0" borderId="31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166" fontId="6" fillId="0" borderId="12" xfId="3" applyNumberFormat="1" applyFont="1" applyFill="1" applyBorder="1"/>
    <xf numFmtId="166" fontId="6" fillId="0" borderId="15" xfId="3" applyNumberFormat="1" applyFont="1" applyFill="1" applyBorder="1"/>
    <xf numFmtId="43" fontId="1" fillId="0" borderId="21" xfId="0" applyNumberFormat="1" applyFont="1" applyFill="1" applyBorder="1"/>
    <xf numFmtId="43" fontId="10" fillId="0" borderId="14" xfId="1" applyFont="1" applyFill="1" applyBorder="1" applyAlignment="1">
      <alignment horizontal="right"/>
    </xf>
    <xf numFmtId="0" fontId="18" fillId="0" borderId="0" xfId="0" applyFont="1" applyFill="1"/>
    <xf numFmtId="0" fontId="0" fillId="0" borderId="39" xfId="0" applyFill="1" applyBorder="1"/>
    <xf numFmtId="0" fontId="0" fillId="0" borderId="32" xfId="0" applyFill="1" applyBorder="1" applyAlignment="1">
      <alignment horizontal="center"/>
    </xf>
    <xf numFmtId="0" fontId="6" fillId="0" borderId="32" xfId="0" applyFont="1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40" xfId="0" applyFill="1" applyBorder="1"/>
    <xf numFmtId="166" fontId="6" fillId="0" borderId="0" xfId="3" applyNumberFormat="1" applyFont="1" applyFill="1" applyBorder="1"/>
    <xf numFmtId="166" fontId="0" fillId="0" borderId="34" xfId="3" applyNumberFormat="1" applyFont="1" applyFill="1" applyBorder="1"/>
    <xf numFmtId="0" fontId="0" fillId="0" borderId="41" xfId="0" applyFill="1" applyBorder="1"/>
    <xf numFmtId="166" fontId="0" fillId="0" borderId="35" xfId="3" applyNumberFormat="1" applyFont="1" applyFill="1" applyBorder="1"/>
    <xf numFmtId="166" fontId="0" fillId="0" borderId="36" xfId="3" applyNumberFormat="1" applyFont="1" applyFill="1" applyBorder="1"/>
    <xf numFmtId="0" fontId="0" fillId="0" borderId="39" xfId="0" applyFill="1" applyBorder="1" applyAlignment="1">
      <alignment horizontal="center"/>
    </xf>
    <xf numFmtId="166" fontId="0" fillId="0" borderId="40" xfId="3" applyNumberFormat="1" applyFont="1" applyFill="1" applyBorder="1"/>
    <xf numFmtId="166" fontId="0" fillId="0" borderId="41" xfId="3" applyNumberFormat="1" applyFont="1" applyFill="1" applyBorder="1"/>
    <xf numFmtId="0" fontId="4" fillId="0" borderId="28" xfId="0" applyFont="1" applyFill="1" applyBorder="1" applyAlignment="1"/>
    <xf numFmtId="0" fontId="4" fillId="0" borderId="38" xfId="0" applyFont="1" applyFill="1" applyBorder="1" applyAlignment="1"/>
    <xf numFmtId="0" fontId="4" fillId="0" borderId="37" xfId="0" applyFont="1" applyFill="1" applyBorder="1" applyAlignment="1"/>
    <xf numFmtId="0" fontId="6" fillId="0" borderId="39" xfId="0" applyFont="1" applyFill="1" applyBorder="1"/>
    <xf numFmtId="0" fontId="6" fillId="0" borderId="33" xfId="0" applyFont="1" applyFill="1" applyBorder="1" applyAlignment="1">
      <alignment horizontal="center"/>
    </xf>
    <xf numFmtId="166" fontId="0" fillId="0" borderId="34" xfId="4" applyNumberFormat="1" applyFont="1" applyFill="1" applyBorder="1"/>
    <xf numFmtId="166" fontId="0" fillId="0" borderId="35" xfId="4" applyNumberFormat="1" applyFont="1" applyFill="1" applyBorder="1"/>
    <xf numFmtId="166" fontId="0" fillId="0" borderId="36" xfId="4" applyNumberFormat="1" applyFont="1" applyFill="1" applyBorder="1"/>
    <xf numFmtId="166" fontId="0" fillId="0" borderId="40" xfId="4" applyNumberFormat="1" applyFont="1" applyFill="1" applyBorder="1"/>
    <xf numFmtId="166" fontId="0" fillId="0" borderId="41" xfId="4" applyNumberFormat="1" applyFont="1" applyFill="1" applyBorder="1"/>
    <xf numFmtId="0" fontId="10" fillId="0" borderId="25" xfId="0" applyFont="1" applyFill="1" applyBorder="1" applyAlignment="1">
      <alignment horizontal="center"/>
    </xf>
    <xf numFmtId="14" fontId="10" fillId="0" borderId="42" xfId="0" applyNumberFormat="1" applyFont="1" applyFill="1" applyBorder="1" applyAlignment="1">
      <alignment horizontal="center"/>
    </xf>
    <xf numFmtId="0" fontId="10" fillId="0" borderId="42" xfId="0" applyFont="1" applyFill="1" applyBorder="1" applyAlignment="1">
      <alignment horizontal="center"/>
    </xf>
    <xf numFmtId="43" fontId="10" fillId="0" borderId="42" xfId="0" applyNumberFormat="1" applyFont="1" applyFill="1" applyBorder="1"/>
    <xf numFmtId="4" fontId="10" fillId="0" borderId="42" xfId="1" applyNumberFormat="1" applyFont="1" applyFill="1" applyBorder="1"/>
    <xf numFmtId="4" fontId="10" fillId="0" borderId="43" xfId="1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14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28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43" fontId="9" fillId="0" borderId="16" xfId="0" applyNumberFormat="1" applyFont="1" applyFill="1" applyBorder="1" applyAlignment="1">
      <alignment horizontal="right"/>
    </xf>
    <xf numFmtId="43" fontId="9" fillId="0" borderId="3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4" fontId="9" fillId="0" borderId="16" xfId="0" applyNumberFormat="1" applyFont="1" applyFill="1" applyBorder="1" applyAlignment="1">
      <alignment horizontal="right"/>
    </xf>
    <xf numFmtId="4" fontId="9" fillId="0" borderId="31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4" fontId="4" fillId="0" borderId="16" xfId="0" applyNumberFormat="1" applyFont="1" applyFill="1" applyBorder="1" applyAlignment="1">
      <alignment horizontal="right"/>
    </xf>
    <xf numFmtId="4" fontId="4" fillId="0" borderId="31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18" fillId="0" borderId="0" xfId="0" applyFont="1" applyFill="1" applyAlignment="1">
      <alignment horizontal="center"/>
    </xf>
    <xf numFmtId="0" fontId="4" fillId="0" borderId="14" xfId="0" applyFont="1" applyFill="1" applyBorder="1" applyAlignment="1">
      <alignment horizontal="right"/>
    </xf>
    <xf numFmtId="0" fontId="4" fillId="0" borderId="28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/>
    </xf>
  </cellXfs>
  <cellStyles count="7">
    <cellStyle name="Comma" xfId="1" builtinId="3"/>
    <cellStyle name="Comma 2" xfId="2"/>
    <cellStyle name="Currency" xfId="3" builtinId="4"/>
    <cellStyle name="Currency 2" xfId="4"/>
    <cellStyle name="Normal" xfId="0" builtinId="0"/>
    <cellStyle name="Normal 2" xfId="5"/>
    <cellStyle name="Percent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628649</xdr:colOff>
      <xdr:row>37</xdr:row>
      <xdr:rowOff>114300</xdr:rowOff>
    </xdr:from>
    <xdr:to>
      <xdr:col>8</xdr:col>
      <xdr:colOff>962024</xdr:colOff>
      <xdr:row>40</xdr:row>
      <xdr:rowOff>104775</xdr:rowOff>
    </xdr:to>
    <xdr:sp macro="" textlink="">
      <xdr:nvSpPr>
        <xdr:cNvPr id="2" name="TextBox 1"/>
        <xdr:cNvSpPr txBox="1"/>
      </xdr:nvSpPr>
      <xdr:spPr>
        <a:xfrm>
          <a:off x="8991599" y="6143625"/>
          <a:ext cx="1381125" cy="4762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Input</a:t>
          </a:r>
          <a:r>
            <a:rPr lang="en-US" sz="1100" baseline="0"/>
            <a:t> to </a:t>
          </a:r>
          <a:r>
            <a:rPr lang="en-US" sz="1100"/>
            <a:t>Schedule 22, Line 5</a:t>
          </a:r>
        </a:p>
      </xdr:txBody>
    </xdr:sp>
    <xdr:clientData/>
  </xdr:twoCellAnchor>
  <xdr:twoCellAnchor>
    <xdr:from>
      <xdr:col>8</xdr:col>
      <xdr:colOff>271462</xdr:colOff>
      <xdr:row>34</xdr:row>
      <xdr:rowOff>9525</xdr:rowOff>
    </xdr:from>
    <xdr:to>
      <xdr:col>8</xdr:col>
      <xdr:colOff>638175</xdr:colOff>
      <xdr:row>37</xdr:row>
      <xdr:rowOff>114300</xdr:rowOff>
    </xdr:to>
    <xdr:cxnSp macro="">
      <xdr:nvCxnSpPr>
        <xdr:cNvPr id="4" name="Straight Arrow Connector 3"/>
        <xdr:cNvCxnSpPr>
          <a:stCxn id="2" idx="0"/>
        </xdr:cNvCxnSpPr>
      </xdr:nvCxnSpPr>
      <xdr:spPr>
        <a:xfrm flipV="1">
          <a:off x="9682162" y="5553075"/>
          <a:ext cx="366713" cy="59055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200025</xdr:colOff>
      <xdr:row>37</xdr:row>
      <xdr:rowOff>142875</xdr:rowOff>
    </xdr:from>
    <xdr:to>
      <xdr:col>7</xdr:col>
      <xdr:colOff>457200</xdr:colOff>
      <xdr:row>40</xdr:row>
      <xdr:rowOff>133350</xdr:rowOff>
    </xdr:to>
    <xdr:sp macro="" textlink="">
      <xdr:nvSpPr>
        <xdr:cNvPr id="8" name="TextBox 7"/>
        <xdr:cNvSpPr txBox="1"/>
      </xdr:nvSpPr>
      <xdr:spPr>
        <a:xfrm>
          <a:off x="7439025" y="6172200"/>
          <a:ext cx="1381125" cy="4762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Sum is input</a:t>
          </a:r>
          <a:r>
            <a:rPr lang="en-US" sz="1100" baseline="0"/>
            <a:t> to </a:t>
          </a:r>
          <a:r>
            <a:rPr lang="en-US" sz="1100"/>
            <a:t>Schedule 22, Line 10</a:t>
          </a:r>
        </a:p>
      </xdr:txBody>
    </xdr:sp>
    <xdr:clientData/>
  </xdr:twoCellAnchor>
  <xdr:twoCellAnchor>
    <xdr:from>
      <xdr:col>6</xdr:col>
      <xdr:colOff>28575</xdr:colOff>
      <xdr:row>34</xdr:row>
      <xdr:rowOff>76200</xdr:rowOff>
    </xdr:from>
    <xdr:to>
      <xdr:col>6</xdr:col>
      <xdr:colOff>890588</xdr:colOff>
      <xdr:row>37</xdr:row>
      <xdr:rowOff>142875</xdr:rowOff>
    </xdr:to>
    <xdr:cxnSp macro="">
      <xdr:nvCxnSpPr>
        <xdr:cNvPr id="9" name="Straight Arrow Connector 8"/>
        <xdr:cNvCxnSpPr>
          <a:stCxn id="8" idx="0"/>
        </xdr:cNvCxnSpPr>
      </xdr:nvCxnSpPr>
      <xdr:spPr>
        <a:xfrm flipH="1" flipV="1">
          <a:off x="7267575" y="5619750"/>
          <a:ext cx="862013" cy="55245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35</xdr:row>
      <xdr:rowOff>47625</xdr:rowOff>
    </xdr:from>
    <xdr:to>
      <xdr:col>6</xdr:col>
      <xdr:colOff>890588</xdr:colOff>
      <xdr:row>37</xdr:row>
      <xdr:rowOff>142875</xdr:rowOff>
    </xdr:to>
    <xdr:cxnSp macro="">
      <xdr:nvCxnSpPr>
        <xdr:cNvPr id="11" name="Straight Arrow Connector 10"/>
        <xdr:cNvCxnSpPr>
          <a:stCxn id="8" idx="0"/>
        </xdr:cNvCxnSpPr>
      </xdr:nvCxnSpPr>
      <xdr:spPr>
        <a:xfrm flipH="1" flipV="1">
          <a:off x="7239001" y="5753100"/>
          <a:ext cx="890587" cy="41910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53</xdr:row>
      <xdr:rowOff>104775</xdr:rowOff>
    </xdr:from>
    <xdr:to>
      <xdr:col>8</xdr:col>
      <xdr:colOff>685800</xdr:colOff>
      <xdr:row>56</xdr:row>
      <xdr:rowOff>95250</xdr:rowOff>
    </xdr:to>
    <xdr:sp macro="" textlink="">
      <xdr:nvSpPr>
        <xdr:cNvPr id="2" name="TextBox 1"/>
        <xdr:cNvSpPr txBox="1"/>
      </xdr:nvSpPr>
      <xdr:spPr>
        <a:xfrm>
          <a:off x="8715375" y="8724900"/>
          <a:ext cx="1381125" cy="4762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Input</a:t>
          </a:r>
          <a:r>
            <a:rPr lang="en-US" sz="1100" baseline="0"/>
            <a:t> to </a:t>
          </a:r>
          <a:r>
            <a:rPr lang="en-US" sz="1100"/>
            <a:t>Schedule 22, Line 1</a:t>
          </a:r>
        </a:p>
      </xdr:txBody>
    </xdr:sp>
    <xdr:clientData/>
  </xdr:twoCellAnchor>
  <xdr:twoCellAnchor>
    <xdr:from>
      <xdr:col>7</xdr:col>
      <xdr:colOff>1042988</xdr:colOff>
      <xdr:row>50</xdr:row>
      <xdr:rowOff>0</xdr:rowOff>
    </xdr:from>
    <xdr:to>
      <xdr:col>8</xdr:col>
      <xdr:colOff>361951</xdr:colOff>
      <xdr:row>53</xdr:row>
      <xdr:rowOff>104775</xdr:rowOff>
    </xdr:to>
    <xdr:cxnSp macro="">
      <xdr:nvCxnSpPr>
        <xdr:cNvPr id="3" name="Straight Arrow Connector 2"/>
        <xdr:cNvCxnSpPr>
          <a:stCxn id="2" idx="0"/>
        </xdr:cNvCxnSpPr>
      </xdr:nvCxnSpPr>
      <xdr:spPr>
        <a:xfrm flipV="1">
          <a:off x="9405938" y="8134350"/>
          <a:ext cx="366713" cy="59055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 enableFormatConditionsCalculation="0">
    <tabColor theme="0" tint="-4.9989318521683403E-2"/>
    <pageSetUpPr fitToPage="1"/>
  </sheetPr>
  <dimension ref="A1:L45"/>
  <sheetViews>
    <sheetView tabSelected="1" zoomScaleNormal="100" zoomScaleSheetLayoutView="85" workbookViewId="0">
      <selection activeCell="C22" sqref="C22"/>
    </sheetView>
  </sheetViews>
  <sheetFormatPr defaultRowHeight="12.75" x14ac:dyDescent="0.2"/>
  <cols>
    <col min="1" max="1" width="37" customWidth="1"/>
    <col min="2" max="5" width="14" style="204" bestFit="1" customWidth="1"/>
    <col min="6" max="6" width="15.5703125" style="204" customWidth="1"/>
    <col min="7" max="7" width="16.85546875" style="204" bestFit="1" customWidth="1"/>
    <col min="8" max="8" width="15.7109375" style="204" bestFit="1" customWidth="1"/>
    <col min="9" max="9" width="16.140625" style="204" customWidth="1"/>
    <col min="10" max="10" width="10.140625" bestFit="1" customWidth="1"/>
    <col min="11" max="12" width="14" bestFit="1" customWidth="1"/>
  </cols>
  <sheetData>
    <row r="1" spans="1:12" s="245" customFormat="1" ht="15.75" x14ac:dyDescent="0.25">
      <c r="A1" s="382" t="s">
        <v>201</v>
      </c>
      <c r="B1" s="383"/>
      <c r="C1" s="383"/>
      <c r="D1" s="383"/>
      <c r="E1" s="383"/>
      <c r="F1" s="383"/>
      <c r="G1" s="244"/>
      <c r="H1" s="244"/>
      <c r="I1" s="244"/>
    </row>
    <row r="2" spans="1:12" x14ac:dyDescent="0.2">
      <c r="A2" s="19"/>
      <c r="B2" s="206"/>
      <c r="C2" s="206"/>
      <c r="D2" s="206"/>
      <c r="E2" s="206"/>
      <c r="F2" s="206"/>
      <c r="G2" s="206"/>
      <c r="H2" s="206"/>
      <c r="I2" s="206"/>
    </row>
    <row r="3" spans="1:12" x14ac:dyDescent="0.2">
      <c r="A3" s="262" t="s">
        <v>139</v>
      </c>
      <c r="B3" s="205" t="s">
        <v>133</v>
      </c>
      <c r="C3" s="205" t="s">
        <v>134</v>
      </c>
      <c r="D3" s="205" t="s">
        <v>135</v>
      </c>
      <c r="E3" s="205" t="s">
        <v>136</v>
      </c>
      <c r="F3" s="205" t="s">
        <v>0</v>
      </c>
      <c r="G3" s="331" t="s">
        <v>197</v>
      </c>
      <c r="H3" s="283" t="s">
        <v>198</v>
      </c>
      <c r="I3" s="205" t="s">
        <v>137</v>
      </c>
    </row>
    <row r="4" spans="1:12" x14ac:dyDescent="0.2">
      <c r="A4" s="229" t="s">
        <v>3</v>
      </c>
      <c r="B4" s="230">
        <f>Lugo!H60</f>
        <v>507915.21222222201</v>
      </c>
      <c r="C4" s="230">
        <v>0</v>
      </c>
      <c r="D4" s="230">
        <v>0</v>
      </c>
      <c r="E4" s="230">
        <v>0</v>
      </c>
      <c r="F4" s="230">
        <f>SUM(B4:E4)</f>
        <v>507915.21222222201</v>
      </c>
      <c r="G4" s="325">
        <f>Lugo!H32</f>
        <v>11374630.049999999</v>
      </c>
      <c r="H4" s="323">
        <f>SUM(Lugo!H41:H60)-0.02</f>
        <v>11374630.054444443</v>
      </c>
      <c r="I4" s="318">
        <f>ROUND(G4-H4,2)</f>
        <v>0</v>
      </c>
    </row>
    <row r="5" spans="1:12" x14ac:dyDescent="0.2">
      <c r="A5" s="229" t="s">
        <v>4</v>
      </c>
      <c r="B5" s="230">
        <f>Lugo!G60+Lugo!I60</f>
        <v>26223.649492300407</v>
      </c>
      <c r="C5" s="230">
        <v>0</v>
      </c>
      <c r="D5" s="230">
        <v>0</v>
      </c>
      <c r="E5" s="230">
        <v>0</v>
      </c>
      <c r="F5" s="231">
        <f>SUM(B5:E5)</f>
        <v>26223.649492300407</v>
      </c>
      <c r="G5" s="319"/>
      <c r="H5" s="319"/>
      <c r="I5" s="319"/>
    </row>
    <row r="6" spans="1:12" x14ac:dyDescent="0.2">
      <c r="A6" s="229" t="s">
        <v>5</v>
      </c>
      <c r="B6" s="230">
        <f>Lugo!G86+Lugo!I86</f>
        <v>413.65789009343649</v>
      </c>
      <c r="C6" s="230">
        <v>0</v>
      </c>
      <c r="D6" s="230">
        <v>0</v>
      </c>
      <c r="E6" s="230">
        <v>0</v>
      </c>
      <c r="F6" s="230">
        <f>SUM(B6:E6)</f>
        <v>413.65789009343649</v>
      </c>
      <c r="G6" s="319"/>
      <c r="H6" s="319"/>
      <c r="I6" s="319"/>
    </row>
    <row r="7" spans="1:12" x14ac:dyDescent="0.2">
      <c r="A7" s="16"/>
      <c r="B7" s="230"/>
      <c r="C7" s="230"/>
      <c r="D7" s="230"/>
      <c r="E7" s="230"/>
      <c r="F7" s="230"/>
      <c r="G7" s="320"/>
      <c r="H7" s="320"/>
      <c r="I7" s="320"/>
      <c r="K7" s="223"/>
      <c r="L7" s="223"/>
    </row>
    <row r="8" spans="1:12" x14ac:dyDescent="0.2">
      <c r="A8" s="262" t="s">
        <v>138</v>
      </c>
      <c r="B8" s="205" t="s">
        <v>133</v>
      </c>
      <c r="C8" s="205" t="s">
        <v>134</v>
      </c>
      <c r="D8" s="205" t="s">
        <v>135</v>
      </c>
      <c r="E8" s="205" t="s">
        <v>136</v>
      </c>
      <c r="F8" s="205" t="s">
        <v>0</v>
      </c>
      <c r="G8" s="331" t="s">
        <v>197</v>
      </c>
      <c r="H8" s="283" t="s">
        <v>198</v>
      </c>
      <c r="I8" s="321" t="s">
        <v>137</v>
      </c>
    </row>
    <row r="9" spans="1:12" x14ac:dyDescent="0.2">
      <c r="A9" s="229" t="s">
        <v>3</v>
      </c>
      <c r="B9" s="230">
        <f>Moenkopi!H59</f>
        <v>717133.299</v>
      </c>
      <c r="C9" s="230">
        <f>Moenkopi!H60</f>
        <v>717133.29399999999</v>
      </c>
      <c r="D9" s="230">
        <f>Moenkopi!H61</f>
        <v>0</v>
      </c>
      <c r="E9" s="230">
        <v>0</v>
      </c>
      <c r="F9" s="230">
        <f>SUM(B9:E9)</f>
        <v>1434266.5929999999</v>
      </c>
      <c r="G9" s="325">
        <f>Moenkopi!H33</f>
        <v>15869992.810000001</v>
      </c>
      <c r="H9" s="323">
        <f>SUM(Moenkopi!H40:H60)</f>
        <v>15869992.810000002</v>
      </c>
      <c r="I9" s="333">
        <f>G9-H9</f>
        <v>0</v>
      </c>
    </row>
    <row r="10" spans="1:12" x14ac:dyDescent="0.2">
      <c r="A10" s="229" t="s">
        <v>4</v>
      </c>
      <c r="B10" s="230">
        <f>Moenkopi!G59+Moenkopi!I59</f>
        <v>32975.929438701598</v>
      </c>
      <c r="C10" s="230">
        <f>Moenkopi!G60+Moenkopi!I60</f>
        <v>27125.340403943752</v>
      </c>
      <c r="D10" s="230">
        <v>0</v>
      </c>
      <c r="E10" s="230">
        <v>0</v>
      </c>
      <c r="F10" s="231">
        <f>SUM(B10:E10)</f>
        <v>60101.26984264535</v>
      </c>
      <c r="G10" s="319"/>
      <c r="H10" s="319"/>
      <c r="I10" s="319"/>
    </row>
    <row r="11" spans="1:12" x14ac:dyDescent="0.2">
      <c r="A11" s="229" t="s">
        <v>5</v>
      </c>
      <c r="B11" s="230">
        <f>Moenkopi!G87+Moenkopi!I87</f>
        <v>663.76421719308769</v>
      </c>
      <c r="C11" s="230">
        <f>Moenkopi!G88+Moenkopi!I88</f>
        <v>580.11434155947359</v>
      </c>
      <c r="D11" s="230">
        <f>Moenkopi!G89+Moenkopi!I89</f>
        <v>0</v>
      </c>
      <c r="E11" s="230">
        <v>0</v>
      </c>
      <c r="F11" s="230">
        <f>SUM(B11:E11)</f>
        <v>1243.8785587525613</v>
      </c>
      <c r="G11" s="319"/>
      <c r="H11" s="319"/>
      <c r="I11" s="319"/>
    </row>
    <row r="12" spans="1:12" x14ac:dyDescent="0.2">
      <c r="A12" s="16"/>
      <c r="B12" s="230"/>
      <c r="C12" s="230"/>
      <c r="D12" s="230"/>
      <c r="E12" s="230"/>
      <c r="F12" s="230"/>
      <c r="G12" s="320"/>
      <c r="H12" s="320"/>
      <c r="I12" s="320"/>
    </row>
    <row r="13" spans="1:12" s="212" customFormat="1" x14ac:dyDescent="0.2">
      <c r="A13" s="262" t="s">
        <v>195</v>
      </c>
      <c r="B13" s="205" t="s">
        <v>133</v>
      </c>
      <c r="C13" s="205" t="s">
        <v>134</v>
      </c>
      <c r="D13" s="205" t="s">
        <v>135</v>
      </c>
      <c r="E13" s="205" t="s">
        <v>136</v>
      </c>
      <c r="F13" s="205" t="s">
        <v>0</v>
      </c>
      <c r="G13" s="331" t="s">
        <v>197</v>
      </c>
      <c r="H13" s="283" t="s">
        <v>198</v>
      </c>
      <c r="I13" s="321" t="s">
        <v>137</v>
      </c>
    </row>
    <row r="14" spans="1:12" s="212" customFormat="1" x14ac:dyDescent="0.2">
      <c r="A14" s="236" t="s">
        <v>3</v>
      </c>
      <c r="B14" s="230">
        <f>Magnolia!H33</f>
        <v>25800</v>
      </c>
      <c r="C14" s="230">
        <f>Magnolia!H34</f>
        <v>25800</v>
      </c>
      <c r="D14" s="230">
        <f>Magnolia!H35</f>
        <v>25800</v>
      </c>
      <c r="E14" s="230">
        <f>Magnolia!H36</f>
        <v>0</v>
      </c>
      <c r="F14" s="230">
        <f>SUM(B14:E14)</f>
        <v>77400</v>
      </c>
      <c r="G14" s="325">
        <f>Magnolia!D3</f>
        <v>516000</v>
      </c>
      <c r="H14" s="323">
        <f>SUM(Magnolia!H15:H35)</f>
        <v>516000</v>
      </c>
      <c r="I14" s="318">
        <f>G14-H14</f>
        <v>0</v>
      </c>
    </row>
    <row r="15" spans="1:12" s="212" customFormat="1" x14ac:dyDescent="0.2">
      <c r="A15" s="236" t="s">
        <v>4</v>
      </c>
      <c r="B15" s="230">
        <f>Magnolia!G33+Magnolia!I33</f>
        <v>3146.6572699893391</v>
      </c>
      <c r="C15" s="230">
        <f>Magnolia!G34+Magnolia!I34</f>
        <v>2925.1672297454238</v>
      </c>
      <c r="D15" s="230">
        <f>Magnolia!G35+Magnolia!I35</f>
        <v>2698.6433249505103</v>
      </c>
      <c r="E15" s="230">
        <f>Magnolia!G36+Magnolia!I36</f>
        <v>0</v>
      </c>
      <c r="F15" s="231">
        <f>SUM(B15:E15)</f>
        <v>8770.4678246852727</v>
      </c>
      <c r="G15" s="322"/>
      <c r="H15" s="322"/>
      <c r="I15" s="322"/>
    </row>
    <row r="16" spans="1:12" s="212" customFormat="1" x14ac:dyDescent="0.2">
      <c r="A16" s="236" t="s">
        <v>5</v>
      </c>
      <c r="B16" s="230">
        <f>Magnolia!G74+Magnolia!I74</f>
        <v>257.19881075790317</v>
      </c>
      <c r="C16" s="230">
        <f>Magnolia!G75+Magnolia!I75</f>
        <v>246.67407918601293</v>
      </c>
      <c r="D16" s="230">
        <f>Magnolia!G76+Magnolia!I76</f>
        <v>235.91203212730079</v>
      </c>
      <c r="E16" s="230">
        <f>Magnolia!G77+Magnolia!I77</f>
        <v>0</v>
      </c>
      <c r="F16" s="230">
        <f>SUM(B16:E16)</f>
        <v>739.7849220712169</v>
      </c>
      <c r="G16" s="322"/>
      <c r="H16" s="322"/>
      <c r="I16" s="322"/>
    </row>
    <row r="17" spans="1:9" x14ac:dyDescent="0.2">
      <c r="A17" s="16"/>
      <c r="B17" s="230"/>
      <c r="C17" s="230"/>
      <c r="D17" s="230"/>
      <c r="E17" s="230"/>
      <c r="F17" s="230"/>
      <c r="G17" s="320"/>
      <c r="H17" s="320"/>
      <c r="I17" s="320"/>
    </row>
    <row r="18" spans="1:9" x14ac:dyDescent="0.2">
      <c r="A18" s="262" t="s">
        <v>141</v>
      </c>
      <c r="B18" s="205" t="s">
        <v>133</v>
      </c>
      <c r="C18" s="205" t="s">
        <v>134</v>
      </c>
      <c r="D18" s="205" t="s">
        <v>135</v>
      </c>
      <c r="E18" s="205" t="s">
        <v>136</v>
      </c>
      <c r="F18" s="205" t="s">
        <v>0</v>
      </c>
      <c r="G18" s="331" t="s">
        <v>197</v>
      </c>
      <c r="H18" s="283" t="s">
        <v>198</v>
      </c>
      <c r="I18" s="321" t="s">
        <v>137</v>
      </c>
    </row>
    <row r="19" spans="1:9" x14ac:dyDescent="0.2">
      <c r="A19" s="229" t="s">
        <v>3</v>
      </c>
      <c r="B19" s="230">
        <f>Mountainview!H58</f>
        <v>601481.94000000018</v>
      </c>
      <c r="C19" s="230">
        <f>Mountainview!H59</f>
        <v>601481.94000000018</v>
      </c>
      <c r="D19" s="230">
        <f>Mountainview!H60</f>
        <v>601481.94000000018</v>
      </c>
      <c r="E19" s="230">
        <f>Mountainview!H61</f>
        <v>601481.94000000018</v>
      </c>
      <c r="F19" s="230">
        <f>SUM(B19:E19)</f>
        <v>2405927.7600000007</v>
      </c>
      <c r="G19" s="325">
        <f>Mountainview!C29</f>
        <v>12029638.800000003</v>
      </c>
      <c r="H19" s="323">
        <f>SUM(Mountainview!H41:H61)</f>
        <v>11428156.860000001</v>
      </c>
      <c r="I19" s="323">
        <f>G19-H19</f>
        <v>601481.94000000134</v>
      </c>
    </row>
    <row r="20" spans="1:9" x14ac:dyDescent="0.2">
      <c r="A20" s="229" t="s">
        <v>4</v>
      </c>
      <c r="B20" s="230">
        <f>Mountainview!G58+Mountainview!I58</f>
        <v>102850.25389395251</v>
      </c>
      <c r="C20" s="230">
        <f>Mountainview!G59+Mountainview!I59</f>
        <v>97664.587823663154</v>
      </c>
      <c r="D20" s="230">
        <f>Mountainview!G60+Mountainview!I60</f>
        <v>92358.324868018244</v>
      </c>
      <c r="E20" s="230">
        <f>Mountainview!G61+Mountainview!I61</f>
        <v>86810.868141662184</v>
      </c>
      <c r="F20" s="231">
        <f>SUM(B20:E20)</f>
        <v>379684.03472729609</v>
      </c>
      <c r="G20" s="319"/>
      <c r="H20" s="319"/>
      <c r="I20" s="319"/>
    </row>
    <row r="21" spans="1:9" x14ac:dyDescent="0.2">
      <c r="A21" s="229" t="s">
        <v>5</v>
      </c>
      <c r="B21" s="230">
        <f>SUM(Mountainview!G108+Mountainview!I108)+(Mountainview!G157+Mountainview!I157)</f>
        <v>11495.624139806847</v>
      </c>
      <c r="C21" s="230">
        <f>SUM(Mountainview!G109+Mountainview!I109)+(Mountainview!G158+Mountainview!I158)</f>
        <v>11233.22669316013</v>
      </c>
      <c r="D21" s="230">
        <f>SUM(Mountainview!G110+Mountainview!I110)+(Mountainview!G158+Mountainview!I158)</f>
        <v>10964.726980312325</v>
      </c>
      <c r="E21" s="230">
        <f>SUM(Mountainview!G111+Mountainview!I111)+(Mountainview!G159+Mountainview!I159)</f>
        <v>10684.022735062348</v>
      </c>
      <c r="F21" s="230">
        <f>SUM(B21:E21)</f>
        <v>44377.600548341652</v>
      </c>
      <c r="G21" s="319"/>
      <c r="H21" s="319"/>
      <c r="I21" s="319"/>
    </row>
    <row r="22" spans="1:9" x14ac:dyDescent="0.2">
      <c r="A22" s="16"/>
      <c r="B22" s="230"/>
      <c r="C22" s="230"/>
      <c r="D22" s="230"/>
      <c r="E22" s="230"/>
      <c r="F22" s="230"/>
      <c r="G22" s="320"/>
      <c r="H22" s="320"/>
      <c r="I22" s="320"/>
    </row>
    <row r="23" spans="1:9" x14ac:dyDescent="0.2">
      <c r="A23" s="262" t="s">
        <v>196</v>
      </c>
      <c r="B23" s="205" t="s">
        <v>133</v>
      </c>
      <c r="C23" s="205" t="s">
        <v>134</v>
      </c>
      <c r="D23" s="205" t="s">
        <v>135</v>
      </c>
      <c r="E23" s="205" t="s">
        <v>136</v>
      </c>
      <c r="F23" s="205" t="s">
        <v>0</v>
      </c>
      <c r="G23" s="331" t="s">
        <v>197</v>
      </c>
      <c r="H23" s="283" t="s">
        <v>198</v>
      </c>
      <c r="I23" s="321" t="s">
        <v>137</v>
      </c>
    </row>
    <row r="24" spans="1:9" x14ac:dyDescent="0.2">
      <c r="A24" s="229" t="s">
        <v>3</v>
      </c>
      <c r="B24" s="230">
        <f>'Blythe I'!H39</f>
        <v>1322600</v>
      </c>
      <c r="C24" s="230">
        <f>'Blythe I'!H40</f>
        <v>1322600</v>
      </c>
      <c r="D24" s="230">
        <f>'Blythe I'!H41</f>
        <v>2906513.0253333347</v>
      </c>
      <c r="E24" s="230">
        <f>'Blythe I'!H42</f>
        <v>1209463.3553333331</v>
      </c>
      <c r="F24" s="230">
        <f>SUM(B24:E24)</f>
        <v>6761176.3806666676</v>
      </c>
      <c r="G24" s="325">
        <f>'Blythe I'!D29</f>
        <v>26452000</v>
      </c>
      <c r="H24" s="323">
        <f>SUM('Blythe I'!H36:H42)</f>
        <v>10728976.380666668</v>
      </c>
      <c r="I24" s="323">
        <f>G24-H24</f>
        <v>15723023.619333332</v>
      </c>
    </row>
    <row r="25" spans="1:9" x14ac:dyDescent="0.2">
      <c r="A25" s="229" t="s">
        <v>4</v>
      </c>
      <c r="B25" s="230">
        <f>'Blythe I'!G39</f>
        <v>180181.60273972602</v>
      </c>
      <c r="C25" s="230">
        <f>'Blythe I'!G40</f>
        <v>171466.93698630139</v>
      </c>
      <c r="D25" s="230">
        <f>'Blythe I'!G41</f>
        <v>162516.73972602742</v>
      </c>
      <c r="E25" s="230">
        <f>'Blythe I'!G42</f>
        <v>138707.22206644749</v>
      </c>
      <c r="F25" s="231">
        <f>SUM(B25:E25)</f>
        <v>652872.50151850237</v>
      </c>
      <c r="G25" s="319"/>
      <c r="H25" s="319"/>
      <c r="I25" s="319"/>
    </row>
    <row r="26" spans="1:9" x14ac:dyDescent="0.2">
      <c r="A26" s="229" t="s">
        <v>5</v>
      </c>
      <c r="B26" s="230">
        <f>'Blythe I'!G74+'Blythe I'!I74</f>
        <v>30.070629395400019</v>
      </c>
      <c r="C26" s="230">
        <f>'Blythe I'!G75+'Blythe I'!I75</f>
        <v>29.171371179242477</v>
      </c>
      <c r="D26" s="230">
        <f>'Blythe I'!G76+'Blythe I'!I76</f>
        <v>28.247808686972569</v>
      </c>
      <c r="E26" s="230">
        <f>'Blythe I'!G77+'Blythe I'!I77</f>
        <v>27.12981198580373</v>
      </c>
      <c r="F26" s="230">
        <f>SUM(B26:E26)</f>
        <v>114.61962124741879</v>
      </c>
      <c r="G26" s="319"/>
      <c r="H26" s="319"/>
      <c r="I26" s="319"/>
    </row>
    <row r="27" spans="1:9" x14ac:dyDescent="0.2">
      <c r="A27" s="263"/>
      <c r="B27" s="230"/>
      <c r="C27" s="230"/>
      <c r="D27" s="230"/>
      <c r="E27" s="230"/>
      <c r="F27" s="238"/>
      <c r="G27" s="320"/>
      <c r="H27" s="320"/>
      <c r="I27" s="320"/>
    </row>
    <row r="28" spans="1:9" x14ac:dyDescent="0.2">
      <c r="A28" s="262" t="s">
        <v>159</v>
      </c>
      <c r="B28" s="205" t="s">
        <v>133</v>
      </c>
      <c r="C28" s="205" t="s">
        <v>134</v>
      </c>
      <c r="D28" s="205" t="s">
        <v>135</v>
      </c>
      <c r="E28" s="205" t="s">
        <v>136</v>
      </c>
      <c r="F28" s="205" t="s">
        <v>0</v>
      </c>
      <c r="G28" s="331" t="s">
        <v>197</v>
      </c>
      <c r="H28" s="283" t="s">
        <v>198</v>
      </c>
      <c r="I28" s="321" t="s">
        <v>137</v>
      </c>
    </row>
    <row r="29" spans="1:9" x14ac:dyDescent="0.2">
      <c r="A29" s="236" t="s">
        <v>3</v>
      </c>
      <c r="B29" s="230">
        <f>'Inland Empire Energy Center'!H22</f>
        <v>249200</v>
      </c>
      <c r="C29" s="230">
        <f>'Inland Empire Energy Center'!H23</f>
        <v>249200</v>
      </c>
      <c r="D29" s="230">
        <f>'Inland Empire Energy Center'!H24</f>
        <v>249200</v>
      </c>
      <c r="E29" s="230">
        <f>'Inland Empire Energy Center'!H25</f>
        <v>249200</v>
      </c>
      <c r="F29" s="230">
        <f>SUM(B29:E29)</f>
        <v>996800</v>
      </c>
      <c r="G29" s="325">
        <f>'Inland Empire Energy Center'!D9</f>
        <v>4984000</v>
      </c>
      <c r="H29" s="323">
        <f>SUM('Inland Empire Energy Center'!H16:H25)</f>
        <v>2492000</v>
      </c>
      <c r="I29" s="323">
        <f>G29-H29</f>
        <v>2492000</v>
      </c>
    </row>
    <row r="30" spans="1:9" x14ac:dyDescent="0.2">
      <c r="A30" s="229" t="s">
        <v>4</v>
      </c>
      <c r="B30" s="230">
        <f>'Inland Empire Energy Center'!G22</f>
        <v>27958.191780821915</v>
      </c>
      <c r="C30" s="230">
        <f>'Inland Empire Energy Center'!G23</f>
        <v>26249.635616438358</v>
      </c>
      <c r="D30" s="230">
        <f>'Inland Empire Energy Center'!G24</f>
        <v>24496.701369863014</v>
      </c>
      <c r="E30" s="230">
        <f>'Inland Empire Energy Center'!G25</f>
        <v>22455.309589041099</v>
      </c>
      <c r="F30" s="231">
        <f>SUM(B30:E30)</f>
        <v>101159.8383561644</v>
      </c>
      <c r="G30" s="319"/>
      <c r="H30" s="319"/>
      <c r="I30" s="319"/>
    </row>
    <row r="31" spans="1:9" x14ac:dyDescent="0.2">
      <c r="A31" s="229" t="s">
        <v>5</v>
      </c>
      <c r="B31" s="230">
        <v>0</v>
      </c>
      <c r="C31" s="230">
        <v>0</v>
      </c>
      <c r="D31" s="230">
        <v>0</v>
      </c>
      <c r="E31" s="230">
        <v>0</v>
      </c>
      <c r="F31" s="230">
        <f>SUM(B31:E31)</f>
        <v>0</v>
      </c>
      <c r="G31" s="319"/>
      <c r="H31" s="319"/>
      <c r="I31" s="319"/>
    </row>
    <row r="32" spans="1:9" x14ac:dyDescent="0.2">
      <c r="A32" s="16"/>
      <c r="B32" s="230"/>
      <c r="C32" s="230"/>
      <c r="D32" s="230"/>
      <c r="E32" s="230"/>
      <c r="F32" s="235"/>
      <c r="G32" s="320"/>
      <c r="H32" s="320"/>
      <c r="I32" s="320"/>
    </row>
    <row r="33" spans="1:9" x14ac:dyDescent="0.2">
      <c r="A33" s="10" t="s">
        <v>2</v>
      </c>
      <c r="B33" s="205" t="s">
        <v>133</v>
      </c>
      <c r="C33" s="205" t="s">
        <v>134</v>
      </c>
      <c r="D33" s="205" t="s">
        <v>135</v>
      </c>
      <c r="E33" s="205" t="s">
        <v>136</v>
      </c>
      <c r="F33" s="205" t="s">
        <v>0</v>
      </c>
      <c r="G33" s="331" t="s">
        <v>197</v>
      </c>
      <c r="H33" s="283" t="s">
        <v>198</v>
      </c>
      <c r="I33" s="321" t="s">
        <v>137</v>
      </c>
    </row>
    <row r="34" spans="1:9" x14ac:dyDescent="0.2">
      <c r="A34" s="236" t="s">
        <v>3</v>
      </c>
      <c r="B34" s="233">
        <f t="shared" ref="B34:H34" si="0">B29+B24+B19+B14+B9+B4</f>
        <v>3424130.4512222223</v>
      </c>
      <c r="C34" s="233">
        <f t="shared" si="0"/>
        <v>2916215.2340000002</v>
      </c>
      <c r="D34" s="233">
        <f t="shared" si="0"/>
        <v>3782994.9653333351</v>
      </c>
      <c r="E34" s="233">
        <f t="shared" si="0"/>
        <v>2060145.2953333333</v>
      </c>
      <c r="F34" s="233">
        <f t="shared" si="0"/>
        <v>12183485.94588889</v>
      </c>
      <c r="G34" s="332">
        <f t="shared" si="0"/>
        <v>71226261.660000011</v>
      </c>
      <c r="H34" s="332">
        <f t="shared" si="0"/>
        <v>52409756.105111122</v>
      </c>
      <c r="I34" s="324">
        <f>G34-H34</f>
        <v>18816505.554888889</v>
      </c>
    </row>
    <row r="35" spans="1:9" x14ac:dyDescent="0.2">
      <c r="A35" s="236" t="s">
        <v>4</v>
      </c>
      <c r="B35" s="233">
        <f t="shared" ref="B35:F36" si="1">B30+B25+B20+B15+B10+B5</f>
        <v>373336.28461549175</v>
      </c>
      <c r="C35" s="233">
        <f t="shared" si="1"/>
        <v>325431.66806009202</v>
      </c>
      <c r="D35" s="233">
        <f t="shared" si="1"/>
        <v>282070.40928885917</v>
      </c>
      <c r="E35" s="233">
        <f t="shared" si="1"/>
        <v>247973.39979715078</v>
      </c>
      <c r="F35" s="233">
        <f t="shared" si="1"/>
        <v>1228811.7617615941</v>
      </c>
      <c r="G35" s="319"/>
      <c r="H35" s="319"/>
      <c r="I35" s="319"/>
    </row>
    <row r="36" spans="1:9" x14ac:dyDescent="0.2">
      <c r="A36" s="236" t="s">
        <v>5</v>
      </c>
      <c r="B36" s="233">
        <f t="shared" si="1"/>
        <v>12860.315687246675</v>
      </c>
      <c r="C36" s="233">
        <f t="shared" si="1"/>
        <v>12089.186485084858</v>
      </c>
      <c r="D36" s="233">
        <f t="shared" si="1"/>
        <v>11228.886821126598</v>
      </c>
      <c r="E36" s="233">
        <f t="shared" si="1"/>
        <v>10711.152547048152</v>
      </c>
      <c r="F36" s="233">
        <f t="shared" si="1"/>
        <v>46889.541540506289</v>
      </c>
      <c r="G36"/>
      <c r="H36"/>
      <c r="I36"/>
    </row>
    <row r="37" spans="1:9" x14ac:dyDescent="0.2">
      <c r="A37" s="208"/>
      <c r="I37" s="343"/>
    </row>
    <row r="38" spans="1:9" x14ac:dyDescent="0.2">
      <c r="A38" s="330" t="s">
        <v>129</v>
      </c>
      <c r="I38" s="343"/>
    </row>
    <row r="39" spans="1:9" x14ac:dyDescent="0.2">
      <c r="A39" s="264" t="s">
        <v>186</v>
      </c>
    </row>
    <row r="40" spans="1:9" x14ac:dyDescent="0.2">
      <c r="A40" s="264" t="s">
        <v>187</v>
      </c>
    </row>
    <row r="41" spans="1:9" x14ac:dyDescent="0.2">
      <c r="A41" s="264" t="s">
        <v>188</v>
      </c>
    </row>
    <row r="42" spans="1:9" x14ac:dyDescent="0.2">
      <c r="A42" s="381" t="s">
        <v>189</v>
      </c>
      <c r="B42" s="381"/>
      <c r="C42" s="381"/>
      <c r="D42" s="381"/>
      <c r="E42" s="381"/>
      <c r="F42" s="381"/>
      <c r="G42" s="381"/>
      <c r="H42" s="381"/>
      <c r="I42" s="381"/>
    </row>
    <row r="43" spans="1:9" ht="12.75" customHeight="1" x14ac:dyDescent="0.2">
      <c r="A43" s="380" t="s">
        <v>190</v>
      </c>
      <c r="B43" s="380"/>
      <c r="C43" s="380"/>
      <c r="D43" s="380"/>
      <c r="E43" s="380"/>
      <c r="F43" s="380"/>
      <c r="G43" s="380"/>
      <c r="H43" s="380"/>
      <c r="I43" s="380"/>
    </row>
    <row r="44" spans="1:9" ht="12.75" customHeight="1" x14ac:dyDescent="0.2">
      <c r="A44" s="380" t="s">
        <v>191</v>
      </c>
      <c r="B44" s="380"/>
      <c r="C44" s="380"/>
      <c r="D44" s="380"/>
      <c r="E44" s="380"/>
      <c r="F44" s="380"/>
      <c r="G44" s="380"/>
      <c r="H44" s="380"/>
      <c r="I44" s="380"/>
    </row>
    <row r="45" spans="1:9" ht="12.75" customHeight="1" x14ac:dyDescent="0.2">
      <c r="A45" s="380" t="s">
        <v>192</v>
      </c>
      <c r="B45" s="380"/>
      <c r="C45" s="380"/>
      <c r="D45" s="380"/>
      <c r="E45" s="380"/>
      <c r="F45" s="380"/>
      <c r="G45" s="380"/>
      <c r="H45" s="380"/>
      <c r="I45" s="380"/>
    </row>
  </sheetData>
  <mergeCells count="5">
    <mergeCell ref="A45:I45"/>
    <mergeCell ref="A43:I43"/>
    <mergeCell ref="A42:I42"/>
    <mergeCell ref="A1:F1"/>
    <mergeCell ref="A44:I44"/>
  </mergeCells>
  <phoneticPr fontId="2" type="noConversion"/>
  <printOptions horizontalCentered="1"/>
  <pageMargins left="0.5" right="0.5" top="1" bottom="0.89" header="0.5" footer="0.5"/>
  <pageSetup scale="62" orientation="portrait" r:id="rId1"/>
  <headerFooter alignWithMargins="0">
    <oddHeader>&amp;RAttachment 4
WP-Schedule 22 
&amp;P of &amp;N</oddHeader>
  </headerFooter>
  <rowBreaks count="1" manualBreakCount="1">
    <brk id="6" max="8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 enableFormatConditionsCalculation="0">
    <tabColor theme="0" tint="-4.9989318521683403E-2"/>
  </sheetPr>
  <dimension ref="A1:J56"/>
  <sheetViews>
    <sheetView view="pageLayout" topLeftCell="A31" zoomScaleNormal="85" workbookViewId="0">
      <selection activeCell="F47" sqref="F47"/>
    </sheetView>
  </sheetViews>
  <sheetFormatPr defaultRowHeight="12.75" x14ac:dyDescent="0.2"/>
  <cols>
    <col min="1" max="1" width="12.28515625" style="22" customWidth="1"/>
    <col min="2" max="2" width="11" style="22" customWidth="1"/>
    <col min="3" max="3" width="12" style="22" customWidth="1"/>
    <col min="4" max="7" width="16.28515625" style="22" customWidth="1"/>
    <col min="8" max="8" width="19.85546875" style="22" bestFit="1" customWidth="1"/>
    <col min="9" max="9" width="11.42578125" style="22" customWidth="1"/>
    <col min="10" max="10" width="19.85546875" style="22" bestFit="1" customWidth="1"/>
    <col min="11" max="16384" width="9.140625" style="22"/>
  </cols>
  <sheetData>
    <row r="1" spans="1:10" ht="51" x14ac:dyDescent="0.2">
      <c r="A1" s="42"/>
      <c r="B1" s="3" t="s">
        <v>71</v>
      </c>
      <c r="C1" s="4" t="s">
        <v>8</v>
      </c>
      <c r="D1" s="3" t="s">
        <v>7</v>
      </c>
      <c r="E1" s="3" t="s">
        <v>1</v>
      </c>
      <c r="F1" s="3" t="s">
        <v>86</v>
      </c>
      <c r="G1" s="4" t="s">
        <v>0</v>
      </c>
    </row>
    <row r="2" spans="1:10" x14ac:dyDescent="0.2">
      <c r="B2" s="8">
        <v>1</v>
      </c>
      <c r="C2" s="12">
        <v>38604</v>
      </c>
      <c r="D2" s="13">
        <v>183000</v>
      </c>
      <c r="E2" s="13">
        <v>0</v>
      </c>
      <c r="F2" s="13">
        <v>0</v>
      </c>
      <c r="G2" s="44">
        <f t="shared" ref="G2:G7" si="0">SUM(D2:F2)</f>
        <v>183000</v>
      </c>
    </row>
    <row r="3" spans="1:10" x14ac:dyDescent="0.2">
      <c r="B3" s="39">
        <v>2</v>
      </c>
      <c r="C3" s="11">
        <v>38610</v>
      </c>
      <c r="D3" s="40">
        <v>378000</v>
      </c>
      <c r="E3" s="43">
        <v>0</v>
      </c>
      <c r="F3" s="43">
        <v>0</v>
      </c>
      <c r="G3" s="44">
        <f t="shared" si="0"/>
        <v>378000</v>
      </c>
    </row>
    <row r="4" spans="1:10" x14ac:dyDescent="0.2">
      <c r="B4" s="39">
        <v>3</v>
      </c>
      <c r="C4" s="11">
        <v>38701</v>
      </c>
      <c r="D4" s="40">
        <v>685000</v>
      </c>
      <c r="E4" s="43">
        <v>0</v>
      </c>
      <c r="F4" s="43">
        <v>0</v>
      </c>
      <c r="G4" s="44">
        <f t="shared" si="0"/>
        <v>685000</v>
      </c>
      <c r="J4" s="44"/>
    </row>
    <row r="5" spans="1:10" x14ac:dyDescent="0.2">
      <c r="B5" s="39">
        <v>4</v>
      </c>
      <c r="C5" s="11">
        <v>38791</v>
      </c>
      <c r="D5" s="40">
        <v>611000</v>
      </c>
      <c r="E5" s="43">
        <v>0</v>
      </c>
      <c r="F5" s="43">
        <v>0</v>
      </c>
      <c r="G5" s="44">
        <f t="shared" si="0"/>
        <v>611000</v>
      </c>
    </row>
    <row r="6" spans="1:10" x14ac:dyDescent="0.2">
      <c r="B6" s="39">
        <v>5</v>
      </c>
      <c r="C6" s="11">
        <v>38883</v>
      </c>
      <c r="D6" s="40">
        <v>1397000</v>
      </c>
      <c r="E6" s="43">
        <v>0</v>
      </c>
      <c r="F6" s="43">
        <v>0</v>
      </c>
      <c r="G6" s="44">
        <f t="shared" si="0"/>
        <v>1397000</v>
      </c>
      <c r="J6" s="45"/>
    </row>
    <row r="7" spans="1:10" x14ac:dyDescent="0.2">
      <c r="B7" s="52">
        <v>6</v>
      </c>
      <c r="C7" s="18">
        <v>38975</v>
      </c>
      <c r="D7" s="53">
        <v>1291000</v>
      </c>
      <c r="E7" s="44">
        <v>0</v>
      </c>
      <c r="F7" s="44">
        <v>0</v>
      </c>
      <c r="G7" s="44">
        <f t="shared" si="0"/>
        <v>1291000</v>
      </c>
    </row>
    <row r="8" spans="1:10" x14ac:dyDescent="0.2">
      <c r="B8" s="52">
        <v>7</v>
      </c>
      <c r="C8" s="18">
        <v>38976</v>
      </c>
      <c r="D8" s="53">
        <v>439000</v>
      </c>
      <c r="E8" s="44">
        <v>0</v>
      </c>
      <c r="F8" s="44">
        <v>0</v>
      </c>
      <c r="G8" s="44">
        <f>SUM(D8:F8)</f>
        <v>439000</v>
      </c>
    </row>
    <row r="9" spans="1:10" x14ac:dyDescent="0.2">
      <c r="C9" s="5" t="s">
        <v>0</v>
      </c>
      <c r="D9" s="45">
        <f>SUM(D2:D8)</f>
        <v>4984000</v>
      </c>
      <c r="E9" s="45">
        <f>SUM(E2:E8)</f>
        <v>0</v>
      </c>
      <c r="F9" s="45">
        <f>SUM(F2:F8)</f>
        <v>0</v>
      </c>
      <c r="G9" s="45">
        <f>SUM(G2:G8)</f>
        <v>4984000</v>
      </c>
    </row>
    <row r="11" spans="1:10" x14ac:dyDescent="0.2">
      <c r="A11" s="396" t="s">
        <v>5</v>
      </c>
      <c r="B11" s="396"/>
      <c r="C11" s="17">
        <v>39991</v>
      </c>
      <c r="D11" s="22" t="s">
        <v>97</v>
      </c>
    </row>
    <row r="13" spans="1:10" x14ac:dyDescent="0.2">
      <c r="A13" s="407" t="s">
        <v>89</v>
      </c>
      <c r="B13" s="407"/>
      <c r="C13" s="407"/>
      <c r="D13" s="407"/>
      <c r="E13" s="407"/>
      <c r="F13" s="407"/>
      <c r="G13" s="407"/>
      <c r="H13" s="407"/>
      <c r="I13" s="407"/>
      <c r="J13" s="407"/>
    </row>
    <row r="14" spans="1:10" x14ac:dyDescent="0.2">
      <c r="A14" s="2" t="s">
        <v>10</v>
      </c>
      <c r="B14" s="2" t="s">
        <v>11</v>
      </c>
      <c r="C14" s="2" t="s">
        <v>12</v>
      </c>
      <c r="D14" s="2" t="s">
        <v>13</v>
      </c>
      <c r="E14" s="2" t="s">
        <v>14</v>
      </c>
      <c r="F14" s="2" t="s">
        <v>15</v>
      </c>
      <c r="G14" s="2" t="s">
        <v>16</v>
      </c>
      <c r="H14" s="2"/>
      <c r="I14" s="2"/>
      <c r="J14" s="2" t="s">
        <v>17</v>
      </c>
    </row>
    <row r="15" spans="1:10" ht="51" x14ac:dyDescent="0.2">
      <c r="A15" s="6" t="s">
        <v>18</v>
      </c>
      <c r="B15" s="6" t="s">
        <v>19</v>
      </c>
      <c r="C15" s="6" t="s">
        <v>20</v>
      </c>
      <c r="D15" s="6" t="s">
        <v>21</v>
      </c>
      <c r="E15" s="6" t="s">
        <v>22</v>
      </c>
      <c r="F15" s="6" t="s">
        <v>23</v>
      </c>
      <c r="G15" s="6" t="s">
        <v>130</v>
      </c>
      <c r="H15" s="6" t="s">
        <v>37</v>
      </c>
      <c r="I15" s="6" t="s">
        <v>131</v>
      </c>
      <c r="J15" s="6" t="s">
        <v>25</v>
      </c>
    </row>
    <row r="16" spans="1:10" x14ac:dyDescent="0.2">
      <c r="A16" s="201" t="s">
        <v>111</v>
      </c>
      <c r="B16" s="175">
        <v>39991</v>
      </c>
      <c r="C16" s="175">
        <v>40086</v>
      </c>
      <c r="D16" s="218">
        <f>+C16-B16+1</f>
        <v>96</v>
      </c>
      <c r="E16" s="219">
        <v>3.25</v>
      </c>
      <c r="F16" s="177">
        <f>D9</f>
        <v>4984000</v>
      </c>
      <c r="G16" s="220">
        <f>D16/365*E16/100*F16</f>
        <v>42602.958904109582</v>
      </c>
      <c r="H16" s="253">
        <f t="shared" ref="H16:H25" si="1">D$9/20</f>
        <v>249200</v>
      </c>
      <c r="I16" s="254"/>
      <c r="J16" s="42"/>
    </row>
    <row r="17" spans="1:10" x14ac:dyDescent="0.2">
      <c r="A17" s="201" t="s">
        <v>101</v>
      </c>
      <c r="B17" s="175">
        <f>C16+1</f>
        <v>40087</v>
      </c>
      <c r="C17" s="175">
        <v>40178</v>
      </c>
      <c r="D17" s="218">
        <f>+C17-B17+1</f>
        <v>92</v>
      </c>
      <c r="E17" s="219">
        <v>3.25</v>
      </c>
      <c r="F17" s="177">
        <f>F16-H16</f>
        <v>4734800</v>
      </c>
      <c r="G17" s="220">
        <f>D17/365*E17/100*F17</f>
        <v>38786.443835616439</v>
      </c>
      <c r="H17" s="253">
        <f t="shared" si="1"/>
        <v>249200</v>
      </c>
      <c r="I17" s="254"/>
      <c r="J17" s="42"/>
    </row>
    <row r="18" spans="1:10" x14ac:dyDescent="0.2">
      <c r="A18" s="201" t="s">
        <v>112</v>
      </c>
      <c r="B18" s="175">
        <f>C17+1</f>
        <v>40179</v>
      </c>
      <c r="C18" s="250">
        <v>40268</v>
      </c>
      <c r="D18" s="189">
        <f t="shared" ref="D18:D38" si="2">+C18-B18+1</f>
        <v>90</v>
      </c>
      <c r="E18" s="345">
        <v>3.25</v>
      </c>
      <c r="F18" s="177">
        <f>F17-H17</f>
        <v>4485600</v>
      </c>
      <c r="G18" s="192">
        <f>+D18/365*E18/100*F18</f>
        <v>35946.246575342462</v>
      </c>
      <c r="H18" s="253">
        <f t="shared" si="1"/>
        <v>249200</v>
      </c>
      <c r="I18" s="346"/>
      <c r="J18" s="251">
        <f>F18-H18</f>
        <v>4236400</v>
      </c>
    </row>
    <row r="19" spans="1:10" x14ac:dyDescent="0.2">
      <c r="A19" s="201" t="s">
        <v>113</v>
      </c>
      <c r="B19" s="175">
        <f>C18+1</f>
        <v>40269</v>
      </c>
      <c r="C19" s="252">
        <v>40359</v>
      </c>
      <c r="D19" s="176">
        <f t="shared" si="2"/>
        <v>91</v>
      </c>
      <c r="E19" s="219">
        <v>3.25</v>
      </c>
      <c r="F19" s="177">
        <f t="shared" ref="F19:F24" si="3">F18-H18</f>
        <v>4236400</v>
      </c>
      <c r="G19" s="192">
        <f>+D19/365*E19/100*F19</f>
        <v>34326.446575342467</v>
      </c>
      <c r="H19" s="253">
        <f t="shared" si="1"/>
        <v>249200</v>
      </c>
      <c r="I19" s="347"/>
      <c r="J19" s="348"/>
    </row>
    <row r="20" spans="1:10" x14ac:dyDescent="0.2">
      <c r="A20" s="201" t="s">
        <v>114</v>
      </c>
      <c r="B20" s="175">
        <f>C19+1</f>
        <v>40360</v>
      </c>
      <c r="C20" s="175">
        <v>40451</v>
      </c>
      <c r="D20" s="218">
        <f t="shared" si="2"/>
        <v>92</v>
      </c>
      <c r="E20" s="219">
        <v>3.25</v>
      </c>
      <c r="F20" s="177">
        <f t="shared" si="3"/>
        <v>3987200</v>
      </c>
      <c r="G20" s="192">
        <f>+D20/365*E20/100*F20</f>
        <v>32662.268493150688</v>
      </c>
      <c r="H20" s="253">
        <f t="shared" si="1"/>
        <v>249200</v>
      </c>
      <c r="I20" s="254"/>
      <c r="J20" s="42"/>
    </row>
    <row r="21" spans="1:10" x14ac:dyDescent="0.2">
      <c r="A21" s="201" t="s">
        <v>102</v>
      </c>
      <c r="B21" s="175">
        <f t="shared" ref="B21:B38" si="4">C20+1</f>
        <v>40452</v>
      </c>
      <c r="C21" s="175">
        <v>40543</v>
      </c>
      <c r="D21" s="218">
        <f t="shared" si="2"/>
        <v>92</v>
      </c>
      <c r="E21" s="219">
        <v>3.25</v>
      </c>
      <c r="F21" s="177">
        <f t="shared" si="3"/>
        <v>3738000</v>
      </c>
      <c r="G21" s="192">
        <f>+D21/365*E21/100*F21</f>
        <v>30620.876712328769</v>
      </c>
      <c r="H21" s="253">
        <f t="shared" si="1"/>
        <v>249200</v>
      </c>
      <c r="I21" s="254"/>
      <c r="J21" s="42"/>
    </row>
    <row r="22" spans="1:10" x14ac:dyDescent="0.2">
      <c r="A22" s="201" t="s">
        <v>115</v>
      </c>
      <c r="B22" s="175">
        <f t="shared" si="4"/>
        <v>40544</v>
      </c>
      <c r="C22" s="250">
        <v>40633</v>
      </c>
      <c r="D22" s="218">
        <f t="shared" si="2"/>
        <v>90</v>
      </c>
      <c r="E22" s="219">
        <v>3.25</v>
      </c>
      <c r="F22" s="177">
        <f t="shared" si="3"/>
        <v>3488800</v>
      </c>
      <c r="G22" s="220">
        <f>D22/365*E22/100*F22</f>
        <v>27958.191780821915</v>
      </c>
      <c r="H22" s="253">
        <f t="shared" si="1"/>
        <v>249200</v>
      </c>
      <c r="I22" s="254"/>
      <c r="J22" s="42"/>
    </row>
    <row r="23" spans="1:10" x14ac:dyDescent="0.2">
      <c r="A23" s="201" t="s">
        <v>116</v>
      </c>
      <c r="B23" s="175">
        <f t="shared" si="4"/>
        <v>40634</v>
      </c>
      <c r="C23" s="252">
        <v>40724</v>
      </c>
      <c r="D23" s="218">
        <f t="shared" si="2"/>
        <v>91</v>
      </c>
      <c r="E23" s="219">
        <v>3.25</v>
      </c>
      <c r="F23" s="177">
        <f t="shared" si="3"/>
        <v>3239600</v>
      </c>
      <c r="G23" s="220">
        <f>D23/365*E23/100*F23</f>
        <v>26249.635616438358</v>
      </c>
      <c r="H23" s="253">
        <f t="shared" si="1"/>
        <v>249200</v>
      </c>
      <c r="I23" s="254"/>
      <c r="J23" s="42"/>
    </row>
    <row r="24" spans="1:10" x14ac:dyDescent="0.2">
      <c r="A24" s="201" t="s">
        <v>117</v>
      </c>
      <c r="B24" s="175">
        <f t="shared" si="4"/>
        <v>40725</v>
      </c>
      <c r="C24" s="175">
        <v>40816</v>
      </c>
      <c r="D24" s="218">
        <f t="shared" si="2"/>
        <v>92</v>
      </c>
      <c r="E24" s="219">
        <v>3.25</v>
      </c>
      <c r="F24" s="177">
        <f t="shared" si="3"/>
        <v>2990400</v>
      </c>
      <c r="G24" s="220">
        <f>D24/365*E24/100*F24</f>
        <v>24496.701369863014</v>
      </c>
      <c r="H24" s="253">
        <f t="shared" si="1"/>
        <v>249200</v>
      </c>
      <c r="I24" s="254"/>
      <c r="J24" s="42"/>
    </row>
    <row r="25" spans="1:10" x14ac:dyDescent="0.2">
      <c r="A25" s="201" t="s">
        <v>103</v>
      </c>
      <c r="B25" s="175">
        <f t="shared" si="4"/>
        <v>40817</v>
      </c>
      <c r="C25" s="175">
        <v>40908</v>
      </c>
      <c r="D25" s="218">
        <f t="shared" si="2"/>
        <v>92</v>
      </c>
      <c r="E25" s="219">
        <v>3.25</v>
      </c>
      <c r="F25" s="177">
        <f t="shared" ref="F25:F37" si="5">F24-H24</f>
        <v>2741200</v>
      </c>
      <c r="G25" s="220">
        <f>D25/365*E25/100*F25</f>
        <v>22455.309589041099</v>
      </c>
      <c r="H25" s="253">
        <f t="shared" si="1"/>
        <v>249200</v>
      </c>
      <c r="I25" s="254"/>
      <c r="J25" s="42"/>
    </row>
    <row r="26" spans="1:10" x14ac:dyDescent="0.2">
      <c r="A26" s="201" t="s">
        <v>110</v>
      </c>
      <c r="B26" s="175">
        <f t="shared" si="4"/>
        <v>40909</v>
      </c>
      <c r="C26" s="250">
        <v>40999</v>
      </c>
      <c r="D26" s="218">
        <f t="shared" si="2"/>
        <v>91</v>
      </c>
      <c r="E26" s="219">
        <v>3.25</v>
      </c>
      <c r="F26" s="177">
        <f t="shared" si="5"/>
        <v>2492000</v>
      </c>
      <c r="G26" s="220">
        <f>D26/366*E26/100*F26</f>
        <v>20136.857923497268</v>
      </c>
      <c r="H26" s="253">
        <f t="shared" ref="H26:H35" si="6">D$9/20</f>
        <v>249200</v>
      </c>
      <c r="I26" s="254"/>
      <c r="J26" s="42"/>
    </row>
    <row r="27" spans="1:10" x14ac:dyDescent="0.2">
      <c r="A27" s="201" t="s">
        <v>118</v>
      </c>
      <c r="B27" s="175">
        <f t="shared" si="4"/>
        <v>41000</v>
      </c>
      <c r="C27" s="252">
        <v>41090</v>
      </c>
      <c r="D27" s="218">
        <f t="shared" si="2"/>
        <v>91</v>
      </c>
      <c r="E27" s="219">
        <v>3.25</v>
      </c>
      <c r="F27" s="177">
        <f t="shared" si="5"/>
        <v>2242800</v>
      </c>
      <c r="G27" s="220">
        <f>D27/366*E27/100*F27</f>
        <v>18123.172131147541</v>
      </c>
      <c r="H27" s="253">
        <f t="shared" si="6"/>
        <v>249200</v>
      </c>
      <c r="I27" s="254"/>
      <c r="J27" s="42"/>
    </row>
    <row r="28" spans="1:10" x14ac:dyDescent="0.2">
      <c r="A28" s="201" t="s">
        <v>119</v>
      </c>
      <c r="B28" s="175">
        <f t="shared" si="4"/>
        <v>41091</v>
      </c>
      <c r="C28" s="175">
        <v>41182</v>
      </c>
      <c r="D28" s="218">
        <f t="shared" si="2"/>
        <v>92</v>
      </c>
      <c r="E28" s="219">
        <v>3.25</v>
      </c>
      <c r="F28" s="177">
        <f t="shared" si="5"/>
        <v>1993600</v>
      </c>
      <c r="G28" s="220">
        <f>D28/366*E28/100*F28</f>
        <v>16286.513661202187</v>
      </c>
      <c r="H28" s="253">
        <f t="shared" si="6"/>
        <v>249200</v>
      </c>
      <c r="I28" s="254"/>
      <c r="J28" s="42"/>
    </row>
    <row r="29" spans="1:10" x14ac:dyDescent="0.2">
      <c r="A29" s="201" t="s">
        <v>104</v>
      </c>
      <c r="B29" s="175">
        <f t="shared" si="4"/>
        <v>41183</v>
      </c>
      <c r="C29" s="175">
        <v>41274</v>
      </c>
      <c r="D29" s="218">
        <f t="shared" si="2"/>
        <v>92</v>
      </c>
      <c r="E29" s="219">
        <v>3.25</v>
      </c>
      <c r="F29" s="177">
        <f t="shared" si="5"/>
        <v>1744400</v>
      </c>
      <c r="G29" s="220">
        <f>D29/366*E29/100*F29</f>
        <v>14250.699453551913</v>
      </c>
      <c r="H29" s="253">
        <f t="shared" si="6"/>
        <v>249200</v>
      </c>
      <c r="I29" s="254"/>
      <c r="J29" s="42"/>
    </row>
    <row r="30" spans="1:10" x14ac:dyDescent="0.2">
      <c r="A30" s="201" t="s">
        <v>142</v>
      </c>
      <c r="B30" s="175">
        <f t="shared" si="4"/>
        <v>41275</v>
      </c>
      <c r="C30" s="250">
        <v>41364</v>
      </c>
      <c r="D30" s="218">
        <f t="shared" si="2"/>
        <v>90</v>
      </c>
      <c r="E30" s="219">
        <v>3.25</v>
      </c>
      <c r="F30" s="177">
        <f t="shared" si="5"/>
        <v>1495200</v>
      </c>
      <c r="G30" s="220">
        <f t="shared" ref="G30:G37" si="7">D30/365*E30/100*F30</f>
        <v>11982.082191780821</v>
      </c>
      <c r="H30" s="253">
        <f t="shared" si="6"/>
        <v>249200</v>
      </c>
      <c r="I30" s="254"/>
      <c r="J30" s="42"/>
    </row>
    <row r="31" spans="1:10" x14ac:dyDescent="0.2">
      <c r="A31" s="201" t="s">
        <v>143</v>
      </c>
      <c r="B31" s="175">
        <f t="shared" si="4"/>
        <v>41365</v>
      </c>
      <c r="C31" s="252">
        <v>41455</v>
      </c>
      <c r="D31" s="218">
        <f t="shared" si="2"/>
        <v>91</v>
      </c>
      <c r="E31" s="219">
        <v>3.25</v>
      </c>
      <c r="F31" s="177">
        <f t="shared" si="5"/>
        <v>1246000</v>
      </c>
      <c r="G31" s="220">
        <f t="shared" si="7"/>
        <v>10096.013698630137</v>
      </c>
      <c r="H31" s="253">
        <f t="shared" si="6"/>
        <v>249200</v>
      </c>
      <c r="I31" s="254"/>
      <c r="J31" s="42"/>
    </row>
    <row r="32" spans="1:10" x14ac:dyDescent="0.2">
      <c r="A32" s="201" t="s">
        <v>144</v>
      </c>
      <c r="B32" s="175">
        <f t="shared" si="4"/>
        <v>41456</v>
      </c>
      <c r="C32" s="175">
        <v>41547</v>
      </c>
      <c r="D32" s="218">
        <f t="shared" si="2"/>
        <v>92</v>
      </c>
      <c r="E32" s="219">
        <v>3.25</v>
      </c>
      <c r="F32" s="177">
        <f t="shared" si="5"/>
        <v>996800</v>
      </c>
      <c r="G32" s="220">
        <f t="shared" si="7"/>
        <v>8165.5671232876721</v>
      </c>
      <c r="H32" s="253">
        <f t="shared" si="6"/>
        <v>249200</v>
      </c>
      <c r="I32" s="254"/>
      <c r="J32" s="42"/>
    </row>
    <row r="33" spans="1:10" x14ac:dyDescent="0.2">
      <c r="A33" s="201" t="s">
        <v>145</v>
      </c>
      <c r="B33" s="175">
        <f t="shared" si="4"/>
        <v>41548</v>
      </c>
      <c r="C33" s="175">
        <v>41639</v>
      </c>
      <c r="D33" s="218">
        <f t="shared" si="2"/>
        <v>92</v>
      </c>
      <c r="E33" s="219">
        <v>3.25</v>
      </c>
      <c r="F33" s="177">
        <f t="shared" si="5"/>
        <v>747600</v>
      </c>
      <c r="G33" s="220">
        <f t="shared" si="7"/>
        <v>6124.1753424657536</v>
      </c>
      <c r="H33" s="253">
        <f t="shared" si="6"/>
        <v>249200</v>
      </c>
      <c r="I33" s="254"/>
      <c r="J33" s="42"/>
    </row>
    <row r="34" spans="1:10" x14ac:dyDescent="0.2">
      <c r="A34" s="201" t="s">
        <v>149</v>
      </c>
      <c r="B34" s="175">
        <f t="shared" si="4"/>
        <v>41640</v>
      </c>
      <c r="C34" s="250">
        <v>41729</v>
      </c>
      <c r="D34" s="218">
        <f t="shared" si="2"/>
        <v>90</v>
      </c>
      <c r="E34" s="219">
        <v>3.25</v>
      </c>
      <c r="F34" s="177">
        <f t="shared" si="5"/>
        <v>498400</v>
      </c>
      <c r="G34" s="220">
        <f t="shared" si="7"/>
        <v>3994.0273972602736</v>
      </c>
      <c r="H34" s="253">
        <f t="shared" si="6"/>
        <v>249200</v>
      </c>
      <c r="I34" s="254"/>
      <c r="J34" s="42"/>
    </row>
    <row r="35" spans="1:10" x14ac:dyDescent="0.2">
      <c r="A35" s="201" t="s">
        <v>150</v>
      </c>
      <c r="B35" s="175">
        <f t="shared" si="4"/>
        <v>41730</v>
      </c>
      <c r="C35" s="252">
        <v>41820</v>
      </c>
      <c r="D35" s="218">
        <f t="shared" si="2"/>
        <v>91</v>
      </c>
      <c r="E35" s="219">
        <v>3.25</v>
      </c>
      <c r="F35" s="177">
        <f t="shared" si="5"/>
        <v>249200</v>
      </c>
      <c r="G35" s="220">
        <f t="shared" si="7"/>
        <v>2019.2027397260274</v>
      </c>
      <c r="H35" s="253">
        <f t="shared" si="6"/>
        <v>249200</v>
      </c>
      <c r="I35" s="254"/>
      <c r="J35" s="42"/>
    </row>
    <row r="36" spans="1:10" x14ac:dyDescent="0.2">
      <c r="A36" s="201" t="s">
        <v>151</v>
      </c>
      <c r="B36" s="175">
        <f t="shared" si="4"/>
        <v>41821</v>
      </c>
      <c r="C36" s="175">
        <v>41912</v>
      </c>
      <c r="D36" s="218">
        <f t="shared" si="2"/>
        <v>92</v>
      </c>
      <c r="E36" s="219">
        <v>3.25</v>
      </c>
      <c r="F36" s="177">
        <f t="shared" si="5"/>
        <v>0</v>
      </c>
      <c r="G36" s="220">
        <f t="shared" si="7"/>
        <v>0</v>
      </c>
      <c r="H36" s="253"/>
      <c r="I36" s="254"/>
      <c r="J36" s="42"/>
    </row>
    <row r="37" spans="1:10" x14ac:dyDescent="0.2">
      <c r="A37" s="201" t="s">
        <v>152</v>
      </c>
      <c r="B37" s="175">
        <f t="shared" si="4"/>
        <v>41913</v>
      </c>
      <c r="C37" s="175">
        <v>42004</v>
      </c>
      <c r="D37" s="218">
        <f t="shared" si="2"/>
        <v>92</v>
      </c>
      <c r="E37" s="219">
        <v>3.25</v>
      </c>
      <c r="F37" s="177">
        <f t="shared" si="5"/>
        <v>0</v>
      </c>
      <c r="G37" s="220">
        <f t="shared" si="7"/>
        <v>0</v>
      </c>
      <c r="H37" s="253"/>
      <c r="I37" s="254"/>
      <c r="J37" s="42"/>
    </row>
    <row r="38" spans="1:10" x14ac:dyDescent="0.2">
      <c r="A38" s="201" t="s">
        <v>153</v>
      </c>
      <c r="B38" s="175">
        <f t="shared" si="4"/>
        <v>42005</v>
      </c>
      <c r="C38" s="250">
        <v>42094</v>
      </c>
      <c r="D38" s="218">
        <f t="shared" si="2"/>
        <v>90</v>
      </c>
      <c r="E38" s="219">
        <v>3.25</v>
      </c>
      <c r="F38" s="177"/>
      <c r="G38" s="220"/>
      <c r="H38" s="253"/>
      <c r="I38" s="254"/>
      <c r="J38" s="42"/>
    </row>
    <row r="39" spans="1:10" x14ac:dyDescent="0.2">
      <c r="A39" s="181"/>
      <c r="B39" s="182"/>
      <c r="C39" s="182"/>
      <c r="D39" s="221"/>
      <c r="E39" s="249"/>
      <c r="F39" s="177"/>
      <c r="G39" s="222"/>
      <c r="H39" s="255"/>
      <c r="I39" s="256"/>
      <c r="J39" s="42"/>
    </row>
    <row r="40" spans="1:10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</row>
    <row r="41" spans="1:10" x14ac:dyDescent="0.2">
      <c r="A41" s="42"/>
      <c r="B41" s="42"/>
      <c r="C41" s="42"/>
      <c r="D41" s="42"/>
      <c r="E41" s="42"/>
      <c r="F41" s="42"/>
      <c r="G41" s="42"/>
      <c r="H41" s="42"/>
      <c r="I41" s="42"/>
      <c r="J41" s="42"/>
    </row>
    <row r="42" spans="1:10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</row>
    <row r="43" spans="1:10" x14ac:dyDescent="0.2">
      <c r="A43" s="42"/>
      <c r="B43" s="42"/>
      <c r="C43" s="42"/>
      <c r="D43" s="42"/>
      <c r="E43" s="42"/>
      <c r="F43" s="42"/>
      <c r="G43" s="42"/>
      <c r="H43" s="42"/>
      <c r="I43" s="42"/>
      <c r="J43" s="42"/>
    </row>
    <row r="44" spans="1:10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</row>
    <row r="45" spans="1:10" x14ac:dyDescent="0.2">
      <c r="A45" s="42"/>
      <c r="B45" s="42"/>
      <c r="C45" s="42"/>
      <c r="D45" s="42"/>
      <c r="E45" s="42"/>
      <c r="F45" s="42"/>
      <c r="G45" s="42"/>
      <c r="H45" s="42"/>
      <c r="I45" s="42"/>
      <c r="J45" s="42"/>
    </row>
    <row r="46" spans="1:10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</row>
    <row r="47" spans="1:10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</row>
    <row r="48" spans="1:10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</row>
    <row r="49" spans="1:10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</row>
    <row r="50" spans="1:10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</row>
    <row r="51" spans="1:10" x14ac:dyDescent="0.2">
      <c r="A51" s="42"/>
      <c r="B51" s="42"/>
      <c r="C51" s="42"/>
      <c r="D51" s="42"/>
      <c r="E51" s="42"/>
      <c r="F51" s="42"/>
      <c r="G51" s="42"/>
      <c r="H51" s="42"/>
      <c r="I51" s="42"/>
      <c r="J51" s="42"/>
    </row>
    <row r="52" spans="1:10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</row>
    <row r="53" spans="1:10" x14ac:dyDescent="0.2">
      <c r="A53" s="42"/>
      <c r="B53" s="42"/>
      <c r="C53" s="42"/>
      <c r="D53" s="42"/>
      <c r="E53" s="42"/>
      <c r="F53" s="42"/>
      <c r="G53" s="42"/>
      <c r="H53" s="42"/>
      <c r="I53" s="42"/>
      <c r="J53" s="42"/>
    </row>
    <row r="54" spans="1:10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</row>
    <row r="55" spans="1:10" x14ac:dyDescent="0.2">
      <c r="A55" s="42"/>
      <c r="B55" s="42"/>
      <c r="C55" s="42"/>
      <c r="D55" s="42"/>
      <c r="E55" s="42"/>
      <c r="F55" s="42"/>
      <c r="G55" s="42"/>
      <c r="H55" s="42"/>
      <c r="I55" s="42"/>
      <c r="J55" s="42"/>
    </row>
    <row r="56" spans="1:10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</row>
  </sheetData>
  <customSheetViews>
    <customSheetView guid="{6086CA2F-D319-4FB4-8773-987A9787386E}" scale="75" showRuler="0" topLeftCell="B13">
      <selection sqref="A1:IV65536"/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2">
    <mergeCell ref="A11:B11"/>
    <mergeCell ref="A13:J13"/>
  </mergeCells>
  <phoneticPr fontId="2" type="noConversion"/>
  <pageMargins left="0.5" right="0.5" top="1" bottom="0.89" header="0.5" footer="0.5"/>
  <pageSetup scale="61" orientation="landscape" r:id="rId2"/>
  <headerFooter alignWithMargins="0">
    <oddHeader>&amp;C&amp;A&amp;RAttachment 4
WP-Schedule 22 
&amp;P of 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 enableFormatConditionsCalculation="0">
    <tabColor theme="0" tint="-4.9989318521683403E-2"/>
  </sheetPr>
  <dimension ref="A1:Q93"/>
  <sheetViews>
    <sheetView view="pageBreakPreview" zoomScale="60" zoomScaleNormal="85" workbookViewId="0">
      <selection activeCell="F47" sqref="F47"/>
    </sheetView>
  </sheetViews>
  <sheetFormatPr defaultRowHeight="12.75" x14ac:dyDescent="0.2"/>
  <cols>
    <col min="1" max="1" width="12.28515625" style="42" customWidth="1"/>
    <col min="2" max="2" width="11" style="42" customWidth="1"/>
    <col min="3" max="3" width="12" style="42" customWidth="1"/>
    <col min="4" max="7" width="16.28515625" style="42" customWidth="1"/>
    <col min="8" max="8" width="19.85546875" style="42" bestFit="1" customWidth="1"/>
    <col min="9" max="9" width="11.42578125" style="42" customWidth="1"/>
    <col min="10" max="10" width="19.85546875" style="42" bestFit="1" customWidth="1"/>
    <col min="11" max="16" width="9.140625" style="42"/>
    <col min="17" max="17" width="10.28515625" style="42" bestFit="1" customWidth="1"/>
    <col min="18" max="16384" width="9.140625" style="42"/>
  </cols>
  <sheetData>
    <row r="1" spans="1:10" ht="51" x14ac:dyDescent="0.2">
      <c r="B1" s="3" t="s">
        <v>71</v>
      </c>
      <c r="C1" s="4" t="s">
        <v>8</v>
      </c>
      <c r="D1" s="3" t="s">
        <v>7</v>
      </c>
      <c r="E1" s="3" t="s">
        <v>1</v>
      </c>
      <c r="F1" s="3" t="s">
        <v>86</v>
      </c>
      <c r="G1" s="4" t="s">
        <v>0</v>
      </c>
      <c r="J1" s="335"/>
    </row>
    <row r="2" spans="1:10" x14ac:dyDescent="0.2">
      <c r="B2" s="8">
        <v>1</v>
      </c>
      <c r="C2" s="12">
        <v>39574</v>
      </c>
      <c r="D2" s="13">
        <v>13000</v>
      </c>
      <c r="E2" s="13">
        <v>0</v>
      </c>
      <c r="F2" s="13">
        <v>2500</v>
      </c>
      <c r="G2" s="213">
        <f t="shared" ref="G2:G26" si="0">SUM(D2:F2)</f>
        <v>15500</v>
      </c>
      <c r="J2" s="335"/>
    </row>
    <row r="3" spans="1:10" x14ac:dyDescent="0.2">
      <c r="B3" s="39">
        <v>2</v>
      </c>
      <c r="C3" s="11">
        <v>39657</v>
      </c>
      <c r="D3" s="40">
        <v>26000</v>
      </c>
      <c r="E3" s="214">
        <v>0</v>
      </c>
      <c r="F3" s="214">
        <v>0</v>
      </c>
      <c r="G3" s="213">
        <f t="shared" si="0"/>
        <v>26000</v>
      </c>
      <c r="J3" s="335"/>
    </row>
    <row r="4" spans="1:10" x14ac:dyDescent="0.2">
      <c r="B4" s="39">
        <v>3</v>
      </c>
      <c r="C4" s="11">
        <v>39661</v>
      </c>
      <c r="D4" s="40">
        <v>39000</v>
      </c>
      <c r="E4" s="214">
        <v>0</v>
      </c>
      <c r="F4" s="214">
        <v>0</v>
      </c>
      <c r="G4" s="213">
        <f t="shared" si="0"/>
        <v>39000</v>
      </c>
      <c r="J4" s="213"/>
    </row>
    <row r="5" spans="1:10" x14ac:dyDescent="0.2">
      <c r="B5" s="39">
        <v>4</v>
      </c>
      <c r="C5" s="11">
        <v>39666</v>
      </c>
      <c r="D5" s="40">
        <v>757000</v>
      </c>
      <c r="E5" s="214">
        <v>0</v>
      </c>
      <c r="F5" s="214">
        <v>0</v>
      </c>
      <c r="G5" s="213">
        <f t="shared" si="0"/>
        <v>757000</v>
      </c>
      <c r="J5" s="215"/>
    </row>
    <row r="6" spans="1:10" x14ac:dyDescent="0.2">
      <c r="B6" s="39">
        <v>5</v>
      </c>
      <c r="C6" s="11">
        <v>39743</v>
      </c>
      <c r="D6" s="40">
        <v>757000</v>
      </c>
      <c r="E6" s="214">
        <v>0</v>
      </c>
      <c r="F6" s="214">
        <v>0</v>
      </c>
      <c r="G6" s="213">
        <f t="shared" ref="G6:G13" si="1">SUM(D6:F6)</f>
        <v>757000</v>
      </c>
      <c r="J6" s="215"/>
    </row>
    <row r="7" spans="1:10" x14ac:dyDescent="0.2">
      <c r="B7" s="52">
        <v>6</v>
      </c>
      <c r="C7" s="18">
        <v>39743</v>
      </c>
      <c r="D7" s="53">
        <v>767000</v>
      </c>
      <c r="E7" s="213">
        <v>0</v>
      </c>
      <c r="F7" s="213">
        <v>0</v>
      </c>
      <c r="G7" s="213">
        <f t="shared" si="1"/>
        <v>767000</v>
      </c>
    </row>
    <row r="8" spans="1:10" x14ac:dyDescent="0.2">
      <c r="B8" s="39">
        <v>7</v>
      </c>
      <c r="C8" s="11">
        <v>39743</v>
      </c>
      <c r="D8" s="40">
        <v>501300</v>
      </c>
      <c r="E8" s="214">
        <v>0</v>
      </c>
      <c r="F8" s="214">
        <v>0</v>
      </c>
      <c r="G8" s="213">
        <f t="shared" si="1"/>
        <v>501300</v>
      </c>
    </row>
    <row r="9" spans="1:10" x14ac:dyDescent="0.2">
      <c r="B9" s="39">
        <v>8</v>
      </c>
      <c r="C9" s="11">
        <v>39797</v>
      </c>
      <c r="D9" s="40">
        <v>671000</v>
      </c>
      <c r="E9" s="214">
        <v>0</v>
      </c>
      <c r="F9" s="214">
        <v>0</v>
      </c>
      <c r="G9" s="213">
        <f t="shared" si="1"/>
        <v>671000</v>
      </c>
      <c r="J9" s="215"/>
    </row>
    <row r="10" spans="1:10" x14ac:dyDescent="0.2">
      <c r="B10" s="52">
        <v>9</v>
      </c>
      <c r="C10" s="18">
        <v>39799</v>
      </c>
      <c r="D10" s="53">
        <v>505000</v>
      </c>
      <c r="E10" s="213">
        <v>0</v>
      </c>
      <c r="F10" s="213">
        <v>0</v>
      </c>
      <c r="G10" s="213">
        <f t="shared" si="1"/>
        <v>505000</v>
      </c>
    </row>
    <row r="11" spans="1:10" x14ac:dyDescent="0.2">
      <c r="A11" s="42" t="s">
        <v>5</v>
      </c>
      <c r="B11" s="52">
        <v>10</v>
      </c>
      <c r="C11" s="18">
        <v>39862</v>
      </c>
      <c r="D11" s="53">
        <v>728000</v>
      </c>
      <c r="E11" s="213">
        <v>0</v>
      </c>
      <c r="F11" s="213">
        <v>0</v>
      </c>
      <c r="G11" s="213">
        <f t="shared" si="1"/>
        <v>728000</v>
      </c>
    </row>
    <row r="12" spans="1:10" x14ac:dyDescent="0.2">
      <c r="B12" s="52">
        <v>11</v>
      </c>
      <c r="C12" s="18">
        <v>39870</v>
      </c>
      <c r="D12" s="53">
        <v>817000</v>
      </c>
      <c r="E12" s="213">
        <v>0</v>
      </c>
      <c r="F12" s="213">
        <v>0</v>
      </c>
      <c r="G12" s="213">
        <f t="shared" si="1"/>
        <v>817000</v>
      </c>
    </row>
    <row r="13" spans="1:10" x14ac:dyDescent="0.2">
      <c r="B13" s="52">
        <v>12</v>
      </c>
      <c r="C13" s="18">
        <v>39912</v>
      </c>
      <c r="D13" s="53">
        <v>728000</v>
      </c>
      <c r="E13" s="213">
        <v>0</v>
      </c>
      <c r="F13" s="213">
        <v>0</v>
      </c>
      <c r="G13" s="213">
        <f t="shared" si="1"/>
        <v>728000</v>
      </c>
    </row>
    <row r="14" spans="1:10" x14ac:dyDescent="0.2">
      <c r="B14" s="39">
        <v>13</v>
      </c>
      <c r="C14" s="11">
        <v>39948</v>
      </c>
      <c r="D14" s="40">
        <v>693000</v>
      </c>
      <c r="E14" s="214">
        <v>0</v>
      </c>
      <c r="F14" s="214">
        <v>0</v>
      </c>
      <c r="G14" s="213">
        <f t="shared" si="0"/>
        <v>693000</v>
      </c>
    </row>
    <row r="15" spans="1:10" x14ac:dyDescent="0.2">
      <c r="B15" s="39">
        <v>14</v>
      </c>
      <c r="C15" s="11">
        <v>39993</v>
      </c>
      <c r="D15" s="40">
        <v>565000</v>
      </c>
      <c r="E15" s="214">
        <v>0</v>
      </c>
      <c r="F15" s="214">
        <v>0</v>
      </c>
      <c r="G15" s="213">
        <f t="shared" si="0"/>
        <v>565000</v>
      </c>
      <c r="J15" s="215"/>
    </row>
    <row r="16" spans="1:10" x14ac:dyDescent="0.2">
      <c r="B16" s="39">
        <v>15</v>
      </c>
      <c r="C16" s="11">
        <v>40002</v>
      </c>
      <c r="D16" s="40">
        <v>475000</v>
      </c>
      <c r="E16" s="214">
        <v>0</v>
      </c>
      <c r="F16" s="214">
        <v>0</v>
      </c>
      <c r="G16" s="213">
        <f t="shared" si="0"/>
        <v>475000</v>
      </c>
      <c r="J16" s="215"/>
    </row>
    <row r="17" spans="1:10" x14ac:dyDescent="0.2">
      <c r="B17" s="52">
        <v>16</v>
      </c>
      <c r="C17" s="18">
        <v>40044</v>
      </c>
      <c r="D17" s="53">
        <v>371000</v>
      </c>
      <c r="E17" s="213">
        <v>0</v>
      </c>
      <c r="F17" s="213">
        <v>0</v>
      </c>
      <c r="G17" s="213">
        <f t="shared" si="0"/>
        <v>371000</v>
      </c>
    </row>
    <row r="18" spans="1:10" x14ac:dyDescent="0.2">
      <c r="B18" s="39">
        <v>17</v>
      </c>
      <c r="C18" s="11">
        <v>40057</v>
      </c>
      <c r="D18" s="40">
        <v>364000</v>
      </c>
      <c r="E18" s="214">
        <v>0</v>
      </c>
      <c r="F18" s="214">
        <v>0</v>
      </c>
      <c r="G18" s="213">
        <f t="shared" si="0"/>
        <v>364000</v>
      </c>
    </row>
    <row r="19" spans="1:10" x14ac:dyDescent="0.2">
      <c r="B19" s="39">
        <v>18</v>
      </c>
      <c r="C19" s="11">
        <v>40072</v>
      </c>
      <c r="D19" s="40">
        <v>355000</v>
      </c>
      <c r="E19" s="214">
        <v>0</v>
      </c>
      <c r="F19" s="214">
        <v>0</v>
      </c>
      <c r="G19" s="213">
        <f t="shared" si="0"/>
        <v>355000</v>
      </c>
      <c r="J19" s="215"/>
    </row>
    <row r="20" spans="1:10" x14ac:dyDescent="0.2">
      <c r="B20" s="52">
        <v>19</v>
      </c>
      <c r="C20" s="18">
        <v>40112</v>
      </c>
      <c r="D20" s="53">
        <v>344000</v>
      </c>
      <c r="E20" s="213">
        <v>0</v>
      </c>
      <c r="F20" s="213">
        <v>0</v>
      </c>
      <c r="G20" s="213">
        <f t="shared" si="0"/>
        <v>344000</v>
      </c>
    </row>
    <row r="21" spans="1:10" x14ac:dyDescent="0.2">
      <c r="B21" s="52">
        <v>20</v>
      </c>
      <c r="C21" s="18">
        <v>40142</v>
      </c>
      <c r="D21" s="53">
        <v>332000</v>
      </c>
      <c r="E21" s="213">
        <v>0</v>
      </c>
      <c r="F21" s="213">
        <v>0</v>
      </c>
      <c r="G21" s="213">
        <f t="shared" si="0"/>
        <v>332000</v>
      </c>
    </row>
    <row r="22" spans="1:10" x14ac:dyDescent="0.2">
      <c r="B22" s="52">
        <v>21</v>
      </c>
      <c r="C22" s="18">
        <v>40177</v>
      </c>
      <c r="D22" s="53">
        <v>312000</v>
      </c>
      <c r="E22" s="213">
        <v>0</v>
      </c>
      <c r="F22" s="213">
        <v>0</v>
      </c>
      <c r="G22" s="213">
        <f t="shared" si="0"/>
        <v>312000</v>
      </c>
    </row>
    <row r="23" spans="1:10" x14ac:dyDescent="0.2">
      <c r="B23" s="52">
        <v>22</v>
      </c>
      <c r="C23" s="18">
        <v>40211</v>
      </c>
      <c r="D23" s="53">
        <v>201000</v>
      </c>
      <c r="E23" s="213">
        <v>0</v>
      </c>
      <c r="F23" s="213">
        <v>0</v>
      </c>
      <c r="G23" s="213">
        <f t="shared" si="0"/>
        <v>201000</v>
      </c>
    </row>
    <row r="24" spans="1:10" x14ac:dyDescent="0.2">
      <c r="B24" s="39">
        <v>23</v>
      </c>
      <c r="C24" s="11">
        <v>40239</v>
      </c>
      <c r="D24" s="40">
        <v>185000</v>
      </c>
      <c r="E24" s="214">
        <v>0</v>
      </c>
      <c r="F24" s="214">
        <v>0</v>
      </c>
      <c r="G24" s="213">
        <f>SUM(D24:F24)</f>
        <v>185000</v>
      </c>
    </row>
    <row r="25" spans="1:10" x14ac:dyDescent="0.2">
      <c r="B25" s="52">
        <v>24</v>
      </c>
      <c r="C25" s="18">
        <v>40254</v>
      </c>
      <c r="D25" s="53">
        <v>138000</v>
      </c>
      <c r="E25" s="213">
        <v>0</v>
      </c>
      <c r="F25" s="213">
        <v>0</v>
      </c>
      <c r="G25" s="213">
        <f t="shared" si="0"/>
        <v>138000</v>
      </c>
    </row>
    <row r="26" spans="1:10" x14ac:dyDescent="0.2">
      <c r="B26" s="52">
        <v>25</v>
      </c>
      <c r="C26" s="18">
        <v>40284</v>
      </c>
      <c r="D26" s="53">
        <v>14976000</v>
      </c>
      <c r="E26" s="213">
        <v>0</v>
      </c>
      <c r="F26" s="53">
        <v>0</v>
      </c>
      <c r="G26" s="213">
        <f t="shared" si="0"/>
        <v>14976000</v>
      </c>
    </row>
    <row r="27" spans="1:10" x14ac:dyDescent="0.2">
      <c r="A27" s="42" t="s">
        <v>158</v>
      </c>
      <c r="B27" s="52">
        <v>26</v>
      </c>
      <c r="C27" s="18">
        <v>40302</v>
      </c>
      <c r="D27" s="53">
        <v>600000</v>
      </c>
      <c r="E27" s="213">
        <v>0</v>
      </c>
      <c r="F27" s="213">
        <v>0</v>
      </c>
      <c r="G27" s="213">
        <f>SUM(D27:F27)</f>
        <v>600000</v>
      </c>
    </row>
    <row r="28" spans="1:10" x14ac:dyDescent="0.2">
      <c r="B28" s="52">
        <v>27</v>
      </c>
      <c r="C28" s="18">
        <v>40331</v>
      </c>
      <c r="D28" s="53">
        <v>231700</v>
      </c>
      <c r="E28" s="213">
        <v>0</v>
      </c>
      <c r="F28" s="213">
        <v>0</v>
      </c>
      <c r="G28" s="213">
        <f>SUM(D28:F28)</f>
        <v>231700</v>
      </c>
    </row>
    <row r="29" spans="1:10" x14ac:dyDescent="0.2">
      <c r="C29" s="5" t="s">
        <v>0</v>
      </c>
      <c r="D29" s="215">
        <f>SUM(D2:D28)</f>
        <v>26452000</v>
      </c>
      <c r="E29" s="215">
        <f>SUM(E2:E26)</f>
        <v>0</v>
      </c>
      <c r="F29" s="215">
        <f>SUM(F2:F28)</f>
        <v>2500</v>
      </c>
      <c r="G29" s="215">
        <f>SUM(G2:G28)</f>
        <v>26454500</v>
      </c>
      <c r="I29" s="286"/>
    </row>
    <row r="30" spans="1:10" x14ac:dyDescent="0.2">
      <c r="A30" s="286" t="s">
        <v>179</v>
      </c>
      <c r="D30" s="282">
        <f>D29-1697049.67</f>
        <v>24754950.329999998</v>
      </c>
      <c r="E30" s="282">
        <v>0</v>
      </c>
      <c r="F30" s="282">
        <f>F29-0</f>
        <v>2500</v>
      </c>
      <c r="G30" s="215">
        <f>SUM(D30:F30)</f>
        <v>24757450.329999998</v>
      </c>
      <c r="H30" s="215">
        <f>G29-G30</f>
        <v>1697049.6700000018</v>
      </c>
    </row>
    <row r="31" spans="1:10" x14ac:dyDescent="0.2">
      <c r="A31" s="396" t="s">
        <v>95</v>
      </c>
      <c r="B31" s="396"/>
      <c r="C31" s="17">
        <v>40340</v>
      </c>
      <c r="D31" s="287" t="s">
        <v>155</v>
      </c>
    </row>
    <row r="33" spans="1:10" x14ac:dyDescent="0.2">
      <c r="A33" s="407" t="s">
        <v>89</v>
      </c>
      <c r="B33" s="407"/>
      <c r="C33" s="407"/>
      <c r="D33" s="407"/>
      <c r="E33" s="407"/>
      <c r="F33" s="407"/>
      <c r="G33" s="407"/>
      <c r="H33" s="407"/>
      <c r="I33" s="407"/>
      <c r="J33" s="407"/>
    </row>
    <row r="34" spans="1:10" x14ac:dyDescent="0.2">
      <c r="A34" s="2" t="s">
        <v>10</v>
      </c>
      <c r="B34" s="2" t="s">
        <v>11</v>
      </c>
      <c r="C34" s="2" t="s">
        <v>12</v>
      </c>
      <c r="D34" s="2" t="s">
        <v>13</v>
      </c>
      <c r="E34" s="2" t="s">
        <v>14</v>
      </c>
      <c r="F34" s="2" t="s">
        <v>15</v>
      </c>
      <c r="G34" s="2" t="s">
        <v>16</v>
      </c>
      <c r="H34" s="2"/>
      <c r="I34" s="2"/>
      <c r="J34" s="2" t="s">
        <v>17</v>
      </c>
    </row>
    <row r="35" spans="1:10" ht="38.25" x14ac:dyDescent="0.2">
      <c r="A35" s="6" t="s">
        <v>18</v>
      </c>
      <c r="B35" s="6" t="s">
        <v>19</v>
      </c>
      <c r="C35" s="6" t="s">
        <v>20</v>
      </c>
      <c r="D35" s="6" t="s">
        <v>21</v>
      </c>
      <c r="E35" s="6" t="s">
        <v>22</v>
      </c>
      <c r="F35" s="6" t="s">
        <v>23</v>
      </c>
      <c r="G35" s="6" t="s">
        <v>157</v>
      </c>
      <c r="H35" s="6" t="s">
        <v>37</v>
      </c>
      <c r="I35" s="6" t="s">
        <v>131</v>
      </c>
      <c r="J35" s="6" t="s">
        <v>25</v>
      </c>
    </row>
    <row r="36" spans="1:10" s="1" customFormat="1" x14ac:dyDescent="0.2">
      <c r="A36" s="180" t="s">
        <v>113</v>
      </c>
      <c r="B36" s="175">
        <f>C31</f>
        <v>40340</v>
      </c>
      <c r="C36" s="252">
        <v>40359</v>
      </c>
      <c r="D36" s="176">
        <f>+C36-B36+1</f>
        <v>20</v>
      </c>
      <c r="E36" s="219">
        <v>3.25</v>
      </c>
      <c r="F36" s="288">
        <f>D29</f>
        <v>26452000</v>
      </c>
      <c r="G36" s="288">
        <f>+D36/365*E36/100*F36</f>
        <v>47106.301369863009</v>
      </c>
      <c r="H36" s="214">
        <f>D29/20</f>
        <v>1322600</v>
      </c>
      <c r="I36" s="289"/>
      <c r="J36" s="290">
        <f t="shared" ref="J36:J55" si="2">F36-H36</f>
        <v>25129400</v>
      </c>
    </row>
    <row r="37" spans="1:10" x14ac:dyDescent="0.2">
      <c r="A37" s="180" t="s">
        <v>114</v>
      </c>
      <c r="B37" s="175">
        <v>40360</v>
      </c>
      <c r="C37" s="252">
        <v>40451</v>
      </c>
      <c r="D37" s="176">
        <f>+C37-B37+1</f>
        <v>92</v>
      </c>
      <c r="E37" s="219">
        <v>3.25</v>
      </c>
      <c r="F37" s="288">
        <f t="shared" ref="F37:F55" si="3">J36</f>
        <v>25129400</v>
      </c>
      <c r="G37" s="288">
        <f>+D37/365*E37/100*F37</f>
        <v>205854.53698630139</v>
      </c>
      <c r="H37" s="214">
        <f>D29/20</f>
        <v>1322600</v>
      </c>
      <c r="I37" s="289"/>
      <c r="J37" s="290">
        <f>F37-H37</f>
        <v>23806800</v>
      </c>
    </row>
    <row r="38" spans="1:10" x14ac:dyDescent="0.2">
      <c r="A38" s="180" t="s">
        <v>102</v>
      </c>
      <c r="B38" s="175">
        <f>C37+1</f>
        <v>40452</v>
      </c>
      <c r="C38" s="252">
        <v>40543</v>
      </c>
      <c r="D38" s="176">
        <f>+C38-B38+1</f>
        <v>92</v>
      </c>
      <c r="E38" s="219">
        <v>3.25</v>
      </c>
      <c r="F38" s="288">
        <f t="shared" si="3"/>
        <v>23806800</v>
      </c>
      <c r="G38" s="288">
        <f>+D38/365*E38/100*F38</f>
        <v>195020.0876712329</v>
      </c>
      <c r="H38" s="214">
        <f>H37</f>
        <v>1322600</v>
      </c>
      <c r="I38" s="289"/>
      <c r="J38" s="290">
        <f t="shared" si="2"/>
        <v>22484200</v>
      </c>
    </row>
    <row r="39" spans="1:10" x14ac:dyDescent="0.2">
      <c r="A39" s="180" t="s">
        <v>115</v>
      </c>
      <c r="B39" s="175">
        <f>C38+1</f>
        <v>40544</v>
      </c>
      <c r="C39" s="175">
        <v>40633</v>
      </c>
      <c r="D39" s="218">
        <f t="shared" ref="D39:D55" si="4">+C39-B39+1</f>
        <v>90</v>
      </c>
      <c r="E39" s="218">
        <v>3.25</v>
      </c>
      <c r="F39" s="288">
        <f t="shared" si="3"/>
        <v>22484200</v>
      </c>
      <c r="G39" s="288">
        <f>+D39/365*E39/100*F39</f>
        <v>180181.60273972602</v>
      </c>
      <c r="H39" s="214">
        <f>H38</f>
        <v>1322600</v>
      </c>
      <c r="I39" s="289"/>
      <c r="J39" s="290">
        <f t="shared" si="2"/>
        <v>21161600</v>
      </c>
    </row>
    <row r="40" spans="1:10" x14ac:dyDescent="0.2">
      <c r="A40" s="180" t="s">
        <v>116</v>
      </c>
      <c r="B40" s="175">
        <f t="shared" ref="B40:B55" si="5">C39+1</f>
        <v>40634</v>
      </c>
      <c r="C40" s="175">
        <v>40724</v>
      </c>
      <c r="D40" s="218">
        <f t="shared" si="4"/>
        <v>91</v>
      </c>
      <c r="E40" s="218">
        <v>3.25</v>
      </c>
      <c r="F40" s="288">
        <f t="shared" si="3"/>
        <v>21161600</v>
      </c>
      <c r="G40" s="288">
        <f t="shared" ref="G40:G55" si="6">+D40/365*E40/100*F40</f>
        <v>171466.93698630139</v>
      </c>
      <c r="H40" s="214">
        <f>H39</f>
        <v>1322600</v>
      </c>
      <c r="I40" s="289"/>
      <c r="J40" s="290">
        <f t="shared" si="2"/>
        <v>19839000</v>
      </c>
    </row>
    <row r="41" spans="1:10" x14ac:dyDescent="0.2">
      <c r="A41" s="180" t="s">
        <v>117</v>
      </c>
      <c r="B41" s="175">
        <f t="shared" si="5"/>
        <v>40725</v>
      </c>
      <c r="C41" s="175">
        <v>40816</v>
      </c>
      <c r="D41" s="218">
        <f t="shared" si="4"/>
        <v>92</v>
      </c>
      <c r="E41" s="218">
        <v>3.25</v>
      </c>
      <c r="F41" s="288">
        <f t="shared" si="3"/>
        <v>19839000</v>
      </c>
      <c r="G41" s="288">
        <f>+D41/365*E41/100*F41</f>
        <v>162516.73972602742</v>
      </c>
      <c r="H41" s="288">
        <f>(D30-SUM(H36:H40))/15+H30</f>
        <v>2906513.0253333347</v>
      </c>
      <c r="I41" s="289"/>
      <c r="J41" s="290">
        <f t="shared" si="2"/>
        <v>16932486.974666666</v>
      </c>
    </row>
    <row r="42" spans="1:10" x14ac:dyDescent="0.2">
      <c r="A42" s="180" t="s">
        <v>103</v>
      </c>
      <c r="B42" s="175">
        <f t="shared" si="5"/>
        <v>40817</v>
      </c>
      <c r="C42" s="175">
        <v>40908</v>
      </c>
      <c r="D42" s="218">
        <f t="shared" si="4"/>
        <v>92</v>
      </c>
      <c r="E42" s="218">
        <v>3.25</v>
      </c>
      <c r="F42" s="288">
        <f t="shared" si="3"/>
        <v>16932486.974666666</v>
      </c>
      <c r="G42" s="288">
        <f t="shared" si="6"/>
        <v>138707.22206644749</v>
      </c>
      <c r="H42" s="288">
        <f>($D$30-SUM(H36:H40))/15</f>
        <v>1209463.3553333331</v>
      </c>
      <c r="I42" s="289"/>
      <c r="J42" s="290">
        <f t="shared" si="2"/>
        <v>15723023.619333332</v>
      </c>
    </row>
    <row r="43" spans="1:10" x14ac:dyDescent="0.2">
      <c r="A43" s="180" t="s">
        <v>110</v>
      </c>
      <c r="B43" s="175">
        <f t="shared" si="5"/>
        <v>40909</v>
      </c>
      <c r="C43" s="175">
        <v>40999</v>
      </c>
      <c r="D43" s="218">
        <f t="shared" si="4"/>
        <v>91</v>
      </c>
      <c r="E43" s="219">
        <v>3.25</v>
      </c>
      <c r="F43" s="288">
        <f t="shared" si="3"/>
        <v>15723023.619333332</v>
      </c>
      <c r="G43" s="288">
        <f>+D43/366*E43/100*F43</f>
        <v>127051.4818420173</v>
      </c>
      <c r="H43" s="288">
        <f>H42</f>
        <v>1209463.3553333331</v>
      </c>
      <c r="I43" s="289"/>
      <c r="J43" s="290">
        <f t="shared" si="2"/>
        <v>14513560.263999999</v>
      </c>
    </row>
    <row r="44" spans="1:10" x14ac:dyDescent="0.2">
      <c r="A44" s="180" t="s">
        <v>118</v>
      </c>
      <c r="B44" s="175">
        <f t="shared" si="5"/>
        <v>41000</v>
      </c>
      <c r="C44" s="175">
        <v>41090</v>
      </c>
      <c r="D44" s="218">
        <f t="shared" si="4"/>
        <v>91</v>
      </c>
      <c r="E44" s="219">
        <v>3.25</v>
      </c>
      <c r="F44" s="288">
        <f t="shared" si="3"/>
        <v>14513560.263999999</v>
      </c>
      <c r="G44" s="288">
        <f>+D44/366*E44/100*F44</f>
        <v>117278.29093109288</v>
      </c>
      <c r="H44" s="288">
        <f>H43</f>
        <v>1209463.3553333331</v>
      </c>
      <c r="I44" s="289"/>
      <c r="J44" s="290">
        <f t="shared" si="2"/>
        <v>13304096.908666665</v>
      </c>
    </row>
    <row r="45" spans="1:10" x14ac:dyDescent="0.2">
      <c r="A45" s="180" t="s">
        <v>119</v>
      </c>
      <c r="B45" s="175">
        <f t="shared" si="5"/>
        <v>41091</v>
      </c>
      <c r="C45" s="175">
        <v>41182</v>
      </c>
      <c r="D45" s="218">
        <f t="shared" si="4"/>
        <v>92</v>
      </c>
      <c r="E45" s="219">
        <v>3.25</v>
      </c>
      <c r="F45" s="288">
        <f t="shared" si="3"/>
        <v>13304096.908666665</v>
      </c>
      <c r="G45" s="288">
        <f>+D45/366*E45/100*F45</f>
        <v>108686.47474566483</v>
      </c>
      <c r="H45" s="288">
        <f t="shared" ref="H45:H55" si="7">H44</f>
        <v>1209463.3553333331</v>
      </c>
      <c r="I45" s="289"/>
      <c r="J45" s="290">
        <f t="shared" si="2"/>
        <v>12094633.553333331</v>
      </c>
    </row>
    <row r="46" spans="1:10" x14ac:dyDescent="0.2">
      <c r="A46" s="180" t="s">
        <v>104</v>
      </c>
      <c r="B46" s="175">
        <f t="shared" si="5"/>
        <v>41183</v>
      </c>
      <c r="C46" s="175">
        <v>41274</v>
      </c>
      <c r="D46" s="218">
        <f t="shared" si="4"/>
        <v>92</v>
      </c>
      <c r="E46" s="219">
        <v>3.25</v>
      </c>
      <c r="F46" s="288">
        <f t="shared" si="3"/>
        <v>12094633.553333331</v>
      </c>
      <c r="G46" s="288">
        <f>+D46/366*E46/100*F46</f>
        <v>98805.886132422573</v>
      </c>
      <c r="H46" s="288">
        <f>H45</f>
        <v>1209463.3553333331</v>
      </c>
      <c r="I46" s="289"/>
      <c r="J46" s="290">
        <f t="shared" si="2"/>
        <v>10885170.197999997</v>
      </c>
    </row>
    <row r="47" spans="1:10" x14ac:dyDescent="0.2">
      <c r="A47" s="180" t="s">
        <v>142</v>
      </c>
      <c r="B47" s="175">
        <f t="shared" si="5"/>
        <v>41275</v>
      </c>
      <c r="C47" s="175">
        <v>41364</v>
      </c>
      <c r="D47" s="218">
        <f t="shared" si="4"/>
        <v>90</v>
      </c>
      <c r="E47" s="218">
        <v>3.25</v>
      </c>
      <c r="F47" s="288">
        <f t="shared" si="3"/>
        <v>10885170.197999997</v>
      </c>
      <c r="G47" s="288">
        <f t="shared" si="6"/>
        <v>87230.473504520516</v>
      </c>
      <c r="H47" s="288">
        <f t="shared" si="7"/>
        <v>1209463.3553333331</v>
      </c>
      <c r="I47" s="289"/>
      <c r="J47" s="290">
        <f t="shared" si="2"/>
        <v>9675706.8426666632</v>
      </c>
    </row>
    <row r="48" spans="1:10" x14ac:dyDescent="0.2">
      <c r="A48" s="180" t="s">
        <v>143</v>
      </c>
      <c r="B48" s="175">
        <f t="shared" si="5"/>
        <v>41365</v>
      </c>
      <c r="C48" s="175">
        <v>41455</v>
      </c>
      <c r="D48" s="218">
        <f t="shared" si="4"/>
        <v>91</v>
      </c>
      <c r="E48" s="218">
        <v>3.25</v>
      </c>
      <c r="F48" s="288">
        <f t="shared" si="3"/>
        <v>9675706.8426666632</v>
      </c>
      <c r="G48" s="288">
        <f t="shared" si="6"/>
        <v>78399.734211470291</v>
      </c>
      <c r="H48" s="288">
        <f t="shared" si="7"/>
        <v>1209463.3553333331</v>
      </c>
      <c r="I48" s="289"/>
      <c r="J48" s="290">
        <f t="shared" si="2"/>
        <v>8466243.4873333294</v>
      </c>
    </row>
    <row r="49" spans="1:10" x14ac:dyDescent="0.2">
      <c r="A49" s="180" t="s">
        <v>144</v>
      </c>
      <c r="B49" s="175">
        <f t="shared" si="5"/>
        <v>41456</v>
      </c>
      <c r="C49" s="175">
        <v>41547</v>
      </c>
      <c r="D49" s="218">
        <f t="shared" si="4"/>
        <v>92</v>
      </c>
      <c r="E49" s="218">
        <v>3.25</v>
      </c>
      <c r="F49" s="288">
        <f t="shared" si="3"/>
        <v>8466243.4873333294</v>
      </c>
      <c r="G49" s="288">
        <f t="shared" si="6"/>
        <v>69353.611033223715</v>
      </c>
      <c r="H49" s="288">
        <f t="shared" si="7"/>
        <v>1209463.3553333331</v>
      </c>
      <c r="I49" s="289"/>
      <c r="J49" s="290">
        <f t="shared" si="2"/>
        <v>7256780.1319999965</v>
      </c>
    </row>
    <row r="50" spans="1:10" x14ac:dyDescent="0.2">
      <c r="A50" s="180" t="s">
        <v>145</v>
      </c>
      <c r="B50" s="175">
        <f t="shared" si="5"/>
        <v>41548</v>
      </c>
      <c r="C50" s="175">
        <v>41639</v>
      </c>
      <c r="D50" s="218">
        <f t="shared" si="4"/>
        <v>92</v>
      </c>
      <c r="E50" s="218">
        <v>3.25</v>
      </c>
      <c r="F50" s="288">
        <f t="shared" si="3"/>
        <v>7256780.1319999965</v>
      </c>
      <c r="G50" s="288">
        <f t="shared" si="6"/>
        <v>59445.95231419176</v>
      </c>
      <c r="H50" s="288">
        <f t="shared" si="7"/>
        <v>1209463.3553333331</v>
      </c>
      <c r="I50" s="289"/>
      <c r="J50" s="290">
        <f t="shared" si="2"/>
        <v>6047316.7766666636</v>
      </c>
    </row>
    <row r="51" spans="1:10" x14ac:dyDescent="0.2">
      <c r="A51" s="180" t="s">
        <v>149</v>
      </c>
      <c r="B51" s="175">
        <f t="shared" si="5"/>
        <v>41640</v>
      </c>
      <c r="C51" s="175">
        <v>41729</v>
      </c>
      <c r="D51" s="218">
        <f t="shared" si="4"/>
        <v>90</v>
      </c>
      <c r="E51" s="219">
        <v>3.25</v>
      </c>
      <c r="F51" s="288">
        <f t="shared" si="3"/>
        <v>6047316.7766666636</v>
      </c>
      <c r="G51" s="288">
        <f t="shared" si="6"/>
        <v>48461.374169178052</v>
      </c>
      <c r="H51" s="288">
        <f t="shared" si="7"/>
        <v>1209463.3553333331</v>
      </c>
      <c r="I51" s="289"/>
      <c r="J51" s="290">
        <f t="shared" si="2"/>
        <v>4837853.4213333307</v>
      </c>
    </row>
    <row r="52" spans="1:10" x14ac:dyDescent="0.2">
      <c r="A52" s="180" t="s">
        <v>150</v>
      </c>
      <c r="B52" s="175">
        <f t="shared" si="5"/>
        <v>41730</v>
      </c>
      <c r="C52" s="175">
        <v>41820</v>
      </c>
      <c r="D52" s="218">
        <f t="shared" si="4"/>
        <v>91</v>
      </c>
      <c r="E52" s="219">
        <v>3.25</v>
      </c>
      <c r="F52" s="288">
        <f t="shared" si="3"/>
        <v>4837853.4213333307</v>
      </c>
      <c r="G52" s="288">
        <f t="shared" si="6"/>
        <v>39199.867105735138</v>
      </c>
      <c r="H52" s="288">
        <f t="shared" si="7"/>
        <v>1209463.3553333331</v>
      </c>
      <c r="I52" s="289"/>
      <c r="J52" s="290">
        <f t="shared" si="2"/>
        <v>3628390.0659999978</v>
      </c>
    </row>
    <row r="53" spans="1:10" x14ac:dyDescent="0.2">
      <c r="A53" s="224" t="s">
        <v>151</v>
      </c>
      <c r="B53" s="175">
        <f t="shared" si="5"/>
        <v>41821</v>
      </c>
      <c r="C53" s="175">
        <v>41912</v>
      </c>
      <c r="D53" s="218">
        <f t="shared" si="4"/>
        <v>92</v>
      </c>
      <c r="E53" s="219">
        <v>3.25</v>
      </c>
      <c r="F53" s="288">
        <f t="shared" si="3"/>
        <v>3628390.0659999978</v>
      </c>
      <c r="G53" s="288">
        <f t="shared" si="6"/>
        <v>29722.976157095876</v>
      </c>
      <c r="H53" s="288">
        <f t="shared" si="7"/>
        <v>1209463.3553333331</v>
      </c>
      <c r="I53" s="289"/>
      <c r="J53" s="290">
        <f t="shared" si="2"/>
        <v>2418926.7106666649</v>
      </c>
    </row>
    <row r="54" spans="1:10" x14ac:dyDescent="0.2">
      <c r="A54" s="9" t="s">
        <v>152</v>
      </c>
      <c r="B54" s="344">
        <f t="shared" si="5"/>
        <v>41913</v>
      </c>
      <c r="C54" s="175">
        <v>42004</v>
      </c>
      <c r="D54" s="218">
        <f t="shared" si="4"/>
        <v>92</v>
      </c>
      <c r="E54" s="219">
        <v>3.25</v>
      </c>
      <c r="F54" s="288">
        <f t="shared" si="3"/>
        <v>2418926.7106666649</v>
      </c>
      <c r="G54" s="288">
        <f t="shared" si="6"/>
        <v>19815.317438063914</v>
      </c>
      <c r="H54" s="288">
        <f t="shared" si="7"/>
        <v>1209463.3553333331</v>
      </c>
      <c r="I54" s="289"/>
      <c r="J54" s="290">
        <f t="shared" si="2"/>
        <v>1209463.3553333317</v>
      </c>
    </row>
    <row r="55" spans="1:10" x14ac:dyDescent="0.2">
      <c r="A55" s="225" t="s">
        <v>153</v>
      </c>
      <c r="B55" s="175">
        <f t="shared" si="5"/>
        <v>42005</v>
      </c>
      <c r="C55" s="175">
        <v>42094</v>
      </c>
      <c r="D55" s="218">
        <f t="shared" si="4"/>
        <v>90</v>
      </c>
      <c r="E55" s="218">
        <v>3.25</v>
      </c>
      <c r="F55" s="288">
        <f t="shared" si="3"/>
        <v>1209463.3553333317</v>
      </c>
      <c r="G55" s="288">
        <f t="shared" si="6"/>
        <v>9692.2748338356032</v>
      </c>
      <c r="H55" s="288">
        <f t="shared" si="7"/>
        <v>1209463.3553333331</v>
      </c>
      <c r="I55" s="289"/>
      <c r="J55" s="290">
        <f t="shared" si="2"/>
        <v>0</v>
      </c>
    </row>
    <row r="56" spans="1:10" x14ac:dyDescent="0.2">
      <c r="A56" s="224"/>
      <c r="B56" s="175"/>
      <c r="C56" s="175"/>
      <c r="D56" s="218"/>
      <c r="E56" s="219"/>
      <c r="F56" s="288"/>
      <c r="G56" s="288"/>
      <c r="H56" s="288"/>
      <c r="I56" s="289"/>
      <c r="J56" s="290"/>
    </row>
    <row r="57" spans="1:10" x14ac:dyDescent="0.2">
      <c r="A57" s="180"/>
      <c r="B57" s="175"/>
      <c r="C57" s="175"/>
      <c r="D57" s="218"/>
      <c r="E57" s="218"/>
      <c r="F57" s="177"/>
      <c r="G57" s="178"/>
      <c r="H57" s="178"/>
      <c r="I57" s="179"/>
      <c r="J57" s="251"/>
    </row>
    <row r="59" spans="1:10" x14ac:dyDescent="0.2">
      <c r="A59" s="387" t="s">
        <v>154</v>
      </c>
      <c r="B59" s="388"/>
      <c r="C59" s="388"/>
      <c r="D59" s="388"/>
      <c r="E59" s="388"/>
      <c r="F59" s="388"/>
      <c r="G59" s="388"/>
      <c r="H59" s="388"/>
      <c r="I59" s="388"/>
      <c r="J59" s="389"/>
    </row>
    <row r="60" spans="1:10" x14ac:dyDescent="0.2">
      <c r="A60" s="2" t="s">
        <v>10</v>
      </c>
      <c r="B60" s="2" t="s">
        <v>11</v>
      </c>
      <c r="C60" s="2" t="s">
        <v>12</v>
      </c>
      <c r="D60" s="2" t="s">
        <v>13</v>
      </c>
      <c r="E60" s="2" t="s">
        <v>14</v>
      </c>
      <c r="F60" s="2" t="s">
        <v>15</v>
      </c>
      <c r="G60" s="2" t="s">
        <v>16</v>
      </c>
      <c r="H60" s="2"/>
      <c r="I60" s="2"/>
      <c r="J60" s="2" t="s">
        <v>17</v>
      </c>
    </row>
    <row r="61" spans="1:10" ht="51" x14ac:dyDescent="0.2">
      <c r="A61" s="6" t="s">
        <v>18</v>
      </c>
      <c r="B61" s="6" t="s">
        <v>19</v>
      </c>
      <c r="C61" s="257" t="s">
        <v>20</v>
      </c>
      <c r="D61" s="257" t="s">
        <v>21</v>
      </c>
      <c r="E61" s="257" t="s">
        <v>22</v>
      </c>
      <c r="F61" s="257" t="s">
        <v>23</v>
      </c>
      <c r="G61" s="257" t="s">
        <v>130</v>
      </c>
      <c r="H61" s="257" t="s">
        <v>37</v>
      </c>
      <c r="I61" s="257" t="s">
        <v>131</v>
      </c>
      <c r="J61" s="257" t="s">
        <v>25</v>
      </c>
    </row>
    <row r="62" spans="1:10" x14ac:dyDescent="0.2">
      <c r="A62" s="201" t="s">
        <v>106</v>
      </c>
      <c r="B62" s="188">
        <f>C2</f>
        <v>39574</v>
      </c>
      <c r="C62" s="252">
        <v>39629</v>
      </c>
      <c r="D62" s="176">
        <f>+C62-B62+1</f>
        <v>56</v>
      </c>
      <c r="E62" s="219">
        <v>6.77</v>
      </c>
      <c r="F62" s="177">
        <f>F29</f>
        <v>2500</v>
      </c>
      <c r="G62" s="178">
        <f>+D62/366*E62/100*F62</f>
        <v>25.896174863387976</v>
      </c>
      <c r="H62" s="178"/>
      <c r="I62" s="178"/>
      <c r="J62" s="220">
        <f>F62+G62</f>
        <v>2525.8961748633878</v>
      </c>
    </row>
    <row r="63" spans="1:10" x14ac:dyDescent="0.2">
      <c r="A63" s="180" t="s">
        <v>107</v>
      </c>
      <c r="B63" s="175">
        <f>C62+1</f>
        <v>39630</v>
      </c>
      <c r="C63" s="252">
        <v>39721</v>
      </c>
      <c r="D63" s="176">
        <f>+C63-B63+1</f>
        <v>92</v>
      </c>
      <c r="E63" s="219">
        <v>5.3</v>
      </c>
      <c r="F63" s="177">
        <f>+J62</f>
        <v>2525.8961748633878</v>
      </c>
      <c r="G63" s="178">
        <f>+D63/366*E63/100*F63</f>
        <v>33.651010242169072</v>
      </c>
      <c r="H63" s="178"/>
      <c r="I63" s="178"/>
      <c r="J63" s="220">
        <f t="shared" ref="J63:J69" si="8">+F63+G63</f>
        <v>2559.5471851055568</v>
      </c>
    </row>
    <row r="64" spans="1:10" x14ac:dyDescent="0.2">
      <c r="A64" s="180" t="s">
        <v>100</v>
      </c>
      <c r="B64" s="175">
        <v>39722</v>
      </c>
      <c r="C64" s="175">
        <v>39813</v>
      </c>
      <c r="D64" s="218">
        <f t="shared" ref="D64:D70" si="9">+C64-B64+1</f>
        <v>92</v>
      </c>
      <c r="E64" s="219">
        <v>5</v>
      </c>
      <c r="F64" s="220">
        <f t="shared" ref="F64:F69" si="10">+J63</f>
        <v>2559.5471851055568</v>
      </c>
      <c r="G64" s="220">
        <f>+D64/366*E64/100*F64</f>
        <v>32.169172271818475</v>
      </c>
      <c r="H64" s="220"/>
      <c r="I64" s="258"/>
      <c r="J64" s="259">
        <f t="shared" si="8"/>
        <v>2591.7163573773751</v>
      </c>
    </row>
    <row r="65" spans="1:17" x14ac:dyDescent="0.2">
      <c r="A65" s="180" t="s">
        <v>108</v>
      </c>
      <c r="B65" s="175">
        <f t="shared" ref="B65:B70" si="11">C64+1</f>
        <v>39814</v>
      </c>
      <c r="C65" s="175">
        <v>39903</v>
      </c>
      <c r="D65" s="218">
        <f t="shared" si="9"/>
        <v>90</v>
      </c>
      <c r="E65" s="219">
        <v>4.5199999999999996</v>
      </c>
      <c r="F65" s="220">
        <f t="shared" si="10"/>
        <v>2591.7163573773751</v>
      </c>
      <c r="G65" s="220">
        <f t="shared" ref="G65:G70" si="12">+D65/365*E65/100*F65</f>
        <v>28.885211347427841</v>
      </c>
      <c r="H65" s="220"/>
      <c r="I65" s="258"/>
      <c r="J65" s="259">
        <f t="shared" si="8"/>
        <v>2620.6015687248027</v>
      </c>
    </row>
    <row r="66" spans="1:17" x14ac:dyDescent="0.2">
      <c r="A66" s="180" t="s">
        <v>109</v>
      </c>
      <c r="B66" s="175">
        <f t="shared" si="11"/>
        <v>39904</v>
      </c>
      <c r="C66" s="175">
        <v>39994</v>
      </c>
      <c r="D66" s="218">
        <f t="shared" si="9"/>
        <v>91</v>
      </c>
      <c r="E66" s="219">
        <v>3.37</v>
      </c>
      <c r="F66" s="220">
        <f t="shared" si="10"/>
        <v>2620.6015687248027</v>
      </c>
      <c r="G66" s="220">
        <f t="shared" si="12"/>
        <v>22.018078988516034</v>
      </c>
      <c r="H66" s="220"/>
      <c r="I66" s="258"/>
      <c r="J66" s="259">
        <f t="shared" si="8"/>
        <v>2642.619647713319</v>
      </c>
    </row>
    <row r="67" spans="1:17" x14ac:dyDescent="0.2">
      <c r="A67" s="180" t="s">
        <v>111</v>
      </c>
      <c r="B67" s="175">
        <f t="shared" si="11"/>
        <v>39995</v>
      </c>
      <c r="C67" s="175">
        <v>40086</v>
      </c>
      <c r="D67" s="218">
        <f t="shared" si="9"/>
        <v>92</v>
      </c>
      <c r="E67" s="219">
        <v>3.25</v>
      </c>
      <c r="F67" s="220">
        <f t="shared" si="10"/>
        <v>2642.619647713319</v>
      </c>
      <c r="G67" s="220">
        <f t="shared" si="12"/>
        <v>21.647760949761164</v>
      </c>
      <c r="H67" s="220"/>
      <c r="I67" s="258"/>
      <c r="J67" s="259">
        <f t="shared" si="8"/>
        <v>2664.26740866308</v>
      </c>
    </row>
    <row r="68" spans="1:17" x14ac:dyDescent="0.2">
      <c r="A68" s="180" t="s">
        <v>101</v>
      </c>
      <c r="B68" s="175">
        <f t="shared" si="11"/>
        <v>40087</v>
      </c>
      <c r="C68" s="175">
        <v>40178</v>
      </c>
      <c r="D68" s="218">
        <f t="shared" si="9"/>
        <v>92</v>
      </c>
      <c r="E68" s="219">
        <v>3.25</v>
      </c>
      <c r="F68" s="220">
        <f t="shared" si="10"/>
        <v>2664.26740866308</v>
      </c>
      <c r="G68" s="220">
        <f t="shared" si="12"/>
        <v>21.825094662746878</v>
      </c>
      <c r="H68" s="220"/>
      <c r="I68" s="258"/>
      <c r="J68" s="259">
        <f t="shared" si="8"/>
        <v>2686.0925033258268</v>
      </c>
    </row>
    <row r="69" spans="1:17" x14ac:dyDescent="0.2">
      <c r="A69" s="180" t="s">
        <v>112</v>
      </c>
      <c r="B69" s="175">
        <f t="shared" si="11"/>
        <v>40179</v>
      </c>
      <c r="C69" s="175">
        <v>40268</v>
      </c>
      <c r="D69" s="218">
        <f t="shared" si="9"/>
        <v>90</v>
      </c>
      <c r="E69" s="219">
        <v>3.25</v>
      </c>
      <c r="F69" s="220">
        <f t="shared" si="10"/>
        <v>2686.0925033258268</v>
      </c>
      <c r="G69" s="220">
        <f t="shared" si="12"/>
        <v>21.525535814323405</v>
      </c>
      <c r="H69" s="220"/>
      <c r="I69" s="258"/>
      <c r="J69" s="259">
        <f t="shared" si="8"/>
        <v>2707.6180391401504</v>
      </c>
    </row>
    <row r="70" spans="1:17" x14ac:dyDescent="0.2">
      <c r="A70" s="180" t="s">
        <v>113</v>
      </c>
      <c r="B70" s="175">
        <f t="shared" si="11"/>
        <v>40269</v>
      </c>
      <c r="C70" s="175">
        <v>40359</v>
      </c>
      <c r="D70" s="218">
        <f t="shared" si="9"/>
        <v>91</v>
      </c>
      <c r="E70" s="219">
        <v>3.25</v>
      </c>
      <c r="F70" s="220">
        <f>+J69</f>
        <v>2707.6180391401504</v>
      </c>
      <c r="G70" s="220">
        <f t="shared" si="12"/>
        <v>21.9391242486493</v>
      </c>
      <c r="H70" s="220">
        <f>F$62/20</f>
        <v>125</v>
      </c>
      <c r="I70" s="258">
        <f>G$71/20</f>
        <v>11.477858169440006</v>
      </c>
      <c r="J70" s="259">
        <f>+F70+G70-H70-I70</f>
        <v>2593.0793052193599</v>
      </c>
      <c r="K70" s="42" t="s">
        <v>156</v>
      </c>
    </row>
    <row r="71" spans="1:17" x14ac:dyDescent="0.2">
      <c r="A71" s="216"/>
      <c r="B71" s="217"/>
      <c r="C71" s="217"/>
      <c r="D71" s="217"/>
      <c r="E71" s="402" t="s">
        <v>132</v>
      </c>
      <c r="F71" s="402"/>
      <c r="G71" s="203">
        <f>SUM(G62:G70)</f>
        <v>229.55716338880012</v>
      </c>
      <c r="H71" s="217"/>
      <c r="I71" s="217"/>
      <c r="J71" s="259"/>
    </row>
    <row r="72" spans="1:17" x14ac:dyDescent="0.2">
      <c r="A72" s="180" t="s">
        <v>114</v>
      </c>
      <c r="B72" s="175">
        <f>C70+1</f>
        <v>40360</v>
      </c>
      <c r="C72" s="175">
        <v>40451</v>
      </c>
      <c r="D72" s="218">
        <f>+C72-B72+1</f>
        <v>92</v>
      </c>
      <c r="E72" s="219">
        <v>3.25</v>
      </c>
      <c r="F72" s="220">
        <f>+J70</f>
        <v>2593.0793052193599</v>
      </c>
      <c r="G72" s="220">
        <f t="shared" ref="G72:G77" si="13">+D72/365*E72/100*F72</f>
        <v>21.24193732220791</v>
      </c>
      <c r="H72" s="220">
        <f>F$62/20</f>
        <v>125</v>
      </c>
      <c r="I72" s="258">
        <f t="shared" ref="I72:I90" si="14">G$71/20</f>
        <v>11.477858169440006</v>
      </c>
      <c r="J72" s="259">
        <f>+F72-H72-I72</f>
        <v>2456.6014470499199</v>
      </c>
    </row>
    <row r="73" spans="1:17" x14ac:dyDescent="0.2">
      <c r="A73" s="180" t="s">
        <v>102</v>
      </c>
      <c r="B73" s="175">
        <f>C72+1</f>
        <v>40452</v>
      </c>
      <c r="C73" s="175">
        <v>40543</v>
      </c>
      <c r="D73" s="218">
        <f t="shared" ref="D73:D82" si="15">+C73-B73+1</f>
        <v>92</v>
      </c>
      <c r="E73" s="219">
        <v>3.25</v>
      </c>
      <c r="F73" s="220">
        <f>J72</f>
        <v>2456.6014470499199</v>
      </c>
      <c r="G73" s="220">
        <f t="shared" si="13"/>
        <v>20.123940621039072</v>
      </c>
      <c r="H73" s="220">
        <f t="shared" ref="H73:H87" si="16">F$62/20</f>
        <v>125</v>
      </c>
      <c r="I73" s="258">
        <f t="shared" si="14"/>
        <v>11.477858169440006</v>
      </c>
      <c r="J73" s="259">
        <f t="shared" ref="J73:J89" si="17">+F73-H73-I73</f>
        <v>2320.1235888804799</v>
      </c>
    </row>
    <row r="74" spans="1:17" x14ac:dyDescent="0.2">
      <c r="A74" s="180" t="s">
        <v>115</v>
      </c>
      <c r="B74" s="175">
        <f t="shared" ref="B74:B82" si="18">C73+1</f>
        <v>40544</v>
      </c>
      <c r="C74" s="175">
        <v>40633</v>
      </c>
      <c r="D74" s="218">
        <f t="shared" si="15"/>
        <v>90</v>
      </c>
      <c r="E74" s="219">
        <v>3.25</v>
      </c>
      <c r="F74" s="220">
        <f t="shared" ref="F74:F90" si="19">J73</f>
        <v>2320.1235888804799</v>
      </c>
      <c r="G74" s="220">
        <f t="shared" si="13"/>
        <v>18.592771225960011</v>
      </c>
      <c r="H74" s="220">
        <f t="shared" si="16"/>
        <v>125</v>
      </c>
      <c r="I74" s="258">
        <f t="shared" si="14"/>
        <v>11.477858169440006</v>
      </c>
      <c r="J74" s="259">
        <f t="shared" si="17"/>
        <v>2183.64573071104</v>
      </c>
    </row>
    <row r="75" spans="1:17" x14ac:dyDescent="0.2">
      <c r="A75" s="180" t="s">
        <v>116</v>
      </c>
      <c r="B75" s="175">
        <f t="shared" si="18"/>
        <v>40634</v>
      </c>
      <c r="C75" s="175">
        <v>40724</v>
      </c>
      <c r="D75" s="218">
        <f t="shared" si="15"/>
        <v>91</v>
      </c>
      <c r="E75" s="219">
        <v>3.25</v>
      </c>
      <c r="F75" s="220">
        <f t="shared" si="19"/>
        <v>2183.64573071104</v>
      </c>
      <c r="G75" s="220">
        <f t="shared" si="13"/>
        <v>17.693513009802469</v>
      </c>
      <c r="H75" s="220">
        <f t="shared" si="16"/>
        <v>125</v>
      </c>
      <c r="I75" s="258">
        <f t="shared" si="14"/>
        <v>11.477858169440006</v>
      </c>
      <c r="J75" s="259">
        <f t="shared" si="17"/>
        <v>2047.1678725416</v>
      </c>
      <c r="Q75" s="329"/>
    </row>
    <row r="76" spans="1:17" x14ac:dyDescent="0.2">
      <c r="A76" s="180" t="s">
        <v>117</v>
      </c>
      <c r="B76" s="175">
        <f t="shared" si="18"/>
        <v>40725</v>
      </c>
      <c r="C76" s="175">
        <v>40816</v>
      </c>
      <c r="D76" s="218">
        <f t="shared" si="15"/>
        <v>92</v>
      </c>
      <c r="E76" s="219">
        <v>3.25</v>
      </c>
      <c r="F76" s="220">
        <f t="shared" si="19"/>
        <v>2047.1678725416</v>
      </c>
      <c r="G76" s="220">
        <f t="shared" si="13"/>
        <v>16.76995051753256</v>
      </c>
      <c r="H76" s="220">
        <f t="shared" si="16"/>
        <v>125</v>
      </c>
      <c r="I76" s="258">
        <f t="shared" si="14"/>
        <v>11.477858169440006</v>
      </c>
      <c r="J76" s="259">
        <f t="shared" si="17"/>
        <v>1910.69001437216</v>
      </c>
      <c r="Q76" s="329"/>
    </row>
    <row r="77" spans="1:17" x14ac:dyDescent="0.2">
      <c r="A77" s="180" t="s">
        <v>103</v>
      </c>
      <c r="B77" s="175">
        <f t="shared" si="18"/>
        <v>40817</v>
      </c>
      <c r="C77" s="175">
        <v>40908</v>
      </c>
      <c r="D77" s="218">
        <f t="shared" si="15"/>
        <v>92</v>
      </c>
      <c r="E77" s="219">
        <v>3.25</v>
      </c>
      <c r="F77" s="220">
        <f t="shared" si="19"/>
        <v>1910.69001437216</v>
      </c>
      <c r="G77" s="220">
        <f t="shared" si="13"/>
        <v>15.651953816363724</v>
      </c>
      <c r="H77" s="220">
        <f t="shared" si="16"/>
        <v>125</v>
      </c>
      <c r="I77" s="258">
        <f t="shared" si="14"/>
        <v>11.477858169440006</v>
      </c>
      <c r="J77" s="259">
        <f t="shared" si="17"/>
        <v>1774.2121562027201</v>
      </c>
    </row>
    <row r="78" spans="1:17" x14ac:dyDescent="0.2">
      <c r="A78" s="180" t="s">
        <v>110</v>
      </c>
      <c r="B78" s="175">
        <f t="shared" si="18"/>
        <v>40909</v>
      </c>
      <c r="C78" s="175">
        <v>40999</v>
      </c>
      <c r="D78" s="218">
        <f t="shared" si="15"/>
        <v>91</v>
      </c>
      <c r="E78" s="219">
        <v>3.25</v>
      </c>
      <c r="F78" s="220">
        <f t="shared" si="19"/>
        <v>1774.2121562027201</v>
      </c>
      <c r="G78" s="220">
        <f>+D78/366*E78/100*F78</f>
        <v>14.336700688441379</v>
      </c>
      <c r="H78" s="220">
        <f t="shared" si="16"/>
        <v>125</v>
      </c>
      <c r="I78" s="258">
        <f t="shared" si="14"/>
        <v>11.477858169440006</v>
      </c>
      <c r="J78" s="259">
        <f t="shared" si="17"/>
        <v>1637.7342980332801</v>
      </c>
    </row>
    <row r="79" spans="1:17" x14ac:dyDescent="0.2">
      <c r="A79" s="224" t="s">
        <v>118</v>
      </c>
      <c r="B79" s="175">
        <f t="shared" si="18"/>
        <v>41000</v>
      </c>
      <c r="C79" s="175">
        <v>41090</v>
      </c>
      <c r="D79" s="218">
        <f t="shared" si="15"/>
        <v>91</v>
      </c>
      <c r="E79" s="219">
        <v>3.25</v>
      </c>
      <c r="F79" s="220">
        <f t="shared" si="19"/>
        <v>1637.7342980332801</v>
      </c>
      <c r="G79" s="220">
        <f>+D79/366*E79/100*F79</f>
        <v>13.233877558561273</v>
      </c>
      <c r="H79" s="220">
        <f t="shared" si="16"/>
        <v>125</v>
      </c>
      <c r="I79" s="258">
        <f t="shared" si="14"/>
        <v>11.477858169440006</v>
      </c>
      <c r="J79" s="259">
        <f t="shared" si="17"/>
        <v>1501.2564398638401</v>
      </c>
    </row>
    <row r="80" spans="1:17" x14ac:dyDescent="0.2">
      <c r="A80" s="9" t="s">
        <v>119</v>
      </c>
      <c r="B80" s="344">
        <f t="shared" si="18"/>
        <v>41091</v>
      </c>
      <c r="C80" s="175">
        <v>41182</v>
      </c>
      <c r="D80" s="218">
        <f t="shared" si="15"/>
        <v>92</v>
      </c>
      <c r="E80" s="219">
        <v>3.25</v>
      </c>
      <c r="F80" s="220">
        <f t="shared" si="19"/>
        <v>1501.2564398638401</v>
      </c>
      <c r="G80" s="220">
        <f>+D80/366*E80/100*F80</f>
        <v>12.264362719106236</v>
      </c>
      <c r="H80" s="220">
        <f t="shared" si="16"/>
        <v>125</v>
      </c>
      <c r="I80" s="258">
        <f t="shared" si="14"/>
        <v>11.477858169440006</v>
      </c>
      <c r="J80" s="259">
        <f t="shared" si="17"/>
        <v>1364.7785816944001</v>
      </c>
    </row>
    <row r="81" spans="1:10" x14ac:dyDescent="0.2">
      <c r="A81" s="225" t="s">
        <v>104</v>
      </c>
      <c r="B81" s="175">
        <f t="shared" si="18"/>
        <v>41183</v>
      </c>
      <c r="C81" s="175">
        <v>41274</v>
      </c>
      <c r="D81" s="218">
        <f t="shared" si="15"/>
        <v>92</v>
      </c>
      <c r="E81" s="219">
        <v>3.25</v>
      </c>
      <c r="F81" s="220">
        <f t="shared" si="19"/>
        <v>1364.7785816944001</v>
      </c>
      <c r="G81" s="220">
        <f>+D81/366*E81/100*F81</f>
        <v>11.149420653732943</v>
      </c>
      <c r="H81" s="220">
        <f t="shared" si="16"/>
        <v>125</v>
      </c>
      <c r="I81" s="258">
        <f t="shared" si="14"/>
        <v>11.477858169440006</v>
      </c>
      <c r="J81" s="259">
        <f t="shared" si="17"/>
        <v>1228.3007235249602</v>
      </c>
    </row>
    <row r="82" spans="1:10" x14ac:dyDescent="0.2">
      <c r="A82" s="180" t="s">
        <v>142</v>
      </c>
      <c r="B82" s="175">
        <f t="shared" si="18"/>
        <v>41275</v>
      </c>
      <c r="C82" s="175">
        <v>41364</v>
      </c>
      <c r="D82" s="218">
        <f t="shared" si="15"/>
        <v>90</v>
      </c>
      <c r="E82" s="219">
        <v>3.25</v>
      </c>
      <c r="F82" s="220">
        <f t="shared" si="19"/>
        <v>1228.3007235249602</v>
      </c>
      <c r="G82" s="220">
        <f t="shared" ref="G82:G90" si="20">+D82/365*E82/100*F82</f>
        <v>9.8432318255082425</v>
      </c>
      <c r="H82" s="220">
        <f t="shared" si="16"/>
        <v>125</v>
      </c>
      <c r="I82" s="258">
        <f t="shared" si="14"/>
        <v>11.477858169440006</v>
      </c>
      <c r="J82" s="259">
        <f t="shared" si="17"/>
        <v>1091.8228653555202</v>
      </c>
    </row>
    <row r="83" spans="1:10" x14ac:dyDescent="0.2">
      <c r="A83" s="180" t="s">
        <v>143</v>
      </c>
      <c r="B83" s="175">
        <f>C82+1</f>
        <v>41365</v>
      </c>
      <c r="C83" s="175">
        <v>41455</v>
      </c>
      <c r="D83" s="218">
        <f>+C83-B83+1</f>
        <v>91</v>
      </c>
      <c r="E83" s="219">
        <v>3.25</v>
      </c>
      <c r="F83" s="220">
        <f t="shared" si="19"/>
        <v>1091.8228653555202</v>
      </c>
      <c r="G83" s="220">
        <f t="shared" si="20"/>
        <v>8.8467565049012364</v>
      </c>
      <c r="H83" s="220">
        <f t="shared" si="16"/>
        <v>125</v>
      </c>
      <c r="I83" s="258">
        <f t="shared" si="14"/>
        <v>11.477858169440006</v>
      </c>
      <c r="J83" s="259">
        <f t="shared" si="17"/>
        <v>955.34500718608024</v>
      </c>
    </row>
    <row r="84" spans="1:10" x14ac:dyDescent="0.2">
      <c r="A84" s="180" t="s">
        <v>144</v>
      </c>
      <c r="B84" s="175">
        <f t="shared" ref="B84:B90" si="21">C83+1</f>
        <v>41456</v>
      </c>
      <c r="C84" s="175">
        <v>41547</v>
      </c>
      <c r="D84" s="218">
        <f t="shared" ref="D84:D90" si="22">+C84-B84+1</f>
        <v>92</v>
      </c>
      <c r="E84" s="219">
        <v>3.25</v>
      </c>
      <c r="F84" s="220">
        <f t="shared" si="19"/>
        <v>955.34500718608024</v>
      </c>
      <c r="G84" s="220">
        <f t="shared" si="20"/>
        <v>7.8259769081818638</v>
      </c>
      <c r="H84" s="220">
        <f t="shared" si="16"/>
        <v>125</v>
      </c>
      <c r="I84" s="258">
        <f t="shared" si="14"/>
        <v>11.477858169440006</v>
      </c>
      <c r="J84" s="259">
        <f t="shared" si="17"/>
        <v>818.86714901664027</v>
      </c>
    </row>
    <row r="85" spans="1:10" x14ac:dyDescent="0.2">
      <c r="A85" s="180" t="s">
        <v>145</v>
      </c>
      <c r="B85" s="175">
        <f t="shared" si="21"/>
        <v>41548</v>
      </c>
      <c r="C85" s="175">
        <v>41639</v>
      </c>
      <c r="D85" s="218">
        <f t="shared" si="22"/>
        <v>92</v>
      </c>
      <c r="E85" s="219">
        <v>3.25</v>
      </c>
      <c r="F85" s="220">
        <f t="shared" si="19"/>
        <v>818.86714901664027</v>
      </c>
      <c r="G85" s="220">
        <f t="shared" si="20"/>
        <v>6.7079802070130263</v>
      </c>
      <c r="H85" s="220">
        <f t="shared" si="16"/>
        <v>125</v>
      </c>
      <c r="I85" s="258">
        <f t="shared" si="14"/>
        <v>11.477858169440006</v>
      </c>
      <c r="J85" s="259">
        <f t="shared" si="17"/>
        <v>682.3892908472003</v>
      </c>
    </row>
    <row r="86" spans="1:10" x14ac:dyDescent="0.2">
      <c r="A86" s="180" t="s">
        <v>149</v>
      </c>
      <c r="B86" s="175">
        <f t="shared" si="21"/>
        <v>41640</v>
      </c>
      <c r="C86" s="175">
        <v>41729</v>
      </c>
      <c r="D86" s="218">
        <f t="shared" si="22"/>
        <v>90</v>
      </c>
      <c r="E86" s="219">
        <v>3.25</v>
      </c>
      <c r="F86" s="220">
        <f t="shared" si="19"/>
        <v>682.3892908472003</v>
      </c>
      <c r="G86" s="220">
        <f t="shared" si="20"/>
        <v>5.4684621252823584</v>
      </c>
      <c r="H86" s="220">
        <f t="shared" si="16"/>
        <v>125</v>
      </c>
      <c r="I86" s="258">
        <f t="shared" si="14"/>
        <v>11.477858169440006</v>
      </c>
      <c r="J86" s="259">
        <f t="shared" si="17"/>
        <v>545.91143267776033</v>
      </c>
    </row>
    <row r="87" spans="1:10" x14ac:dyDescent="0.2">
      <c r="A87" s="180" t="s">
        <v>150</v>
      </c>
      <c r="B87" s="175">
        <f t="shared" si="21"/>
        <v>41730</v>
      </c>
      <c r="C87" s="175">
        <v>41820</v>
      </c>
      <c r="D87" s="218">
        <f t="shared" si="22"/>
        <v>91</v>
      </c>
      <c r="E87" s="219">
        <v>3.25</v>
      </c>
      <c r="F87" s="220">
        <f t="shared" si="19"/>
        <v>545.91143267776033</v>
      </c>
      <c r="G87" s="220">
        <f t="shared" si="20"/>
        <v>4.42337825245062</v>
      </c>
      <c r="H87" s="220">
        <f t="shared" si="16"/>
        <v>125</v>
      </c>
      <c r="I87" s="258">
        <f t="shared" si="14"/>
        <v>11.477858169440006</v>
      </c>
      <c r="J87" s="259">
        <f t="shared" si="17"/>
        <v>409.43357450832031</v>
      </c>
    </row>
    <row r="88" spans="1:10" x14ac:dyDescent="0.2">
      <c r="A88" s="224" t="s">
        <v>151</v>
      </c>
      <c r="B88" s="175">
        <f t="shared" si="21"/>
        <v>41821</v>
      </c>
      <c r="C88" s="175">
        <v>41912</v>
      </c>
      <c r="D88" s="218">
        <f t="shared" si="22"/>
        <v>92</v>
      </c>
      <c r="E88" s="219">
        <v>3.25</v>
      </c>
      <c r="F88" s="220">
        <f t="shared" si="19"/>
        <v>409.43357450832031</v>
      </c>
      <c r="G88" s="220">
        <f t="shared" si="20"/>
        <v>3.3539901035065145</v>
      </c>
      <c r="H88" s="220">
        <f>F$62/20</f>
        <v>125</v>
      </c>
      <c r="I88" s="258">
        <f t="shared" si="14"/>
        <v>11.477858169440006</v>
      </c>
      <c r="J88" s="259">
        <f t="shared" si="17"/>
        <v>272.95571633888028</v>
      </c>
    </row>
    <row r="89" spans="1:10" x14ac:dyDescent="0.2">
      <c r="A89" s="9" t="s">
        <v>152</v>
      </c>
      <c r="B89" s="344">
        <f t="shared" si="21"/>
        <v>41913</v>
      </c>
      <c r="C89" s="175">
        <v>42004</v>
      </c>
      <c r="D89" s="218">
        <f t="shared" si="22"/>
        <v>92</v>
      </c>
      <c r="E89" s="219">
        <v>3.25</v>
      </c>
      <c r="F89" s="220">
        <f t="shared" si="19"/>
        <v>272.95571633888028</v>
      </c>
      <c r="G89" s="220">
        <f t="shared" si="20"/>
        <v>2.2359934023376771</v>
      </c>
      <c r="H89" s="220">
        <f>F$62/20</f>
        <v>125</v>
      </c>
      <c r="I89" s="258">
        <f t="shared" si="14"/>
        <v>11.477858169440006</v>
      </c>
      <c r="J89" s="259">
        <f t="shared" si="17"/>
        <v>136.47785816944028</v>
      </c>
    </row>
    <row r="90" spans="1:10" x14ac:dyDescent="0.2">
      <c r="A90" s="225" t="s">
        <v>153</v>
      </c>
      <c r="B90" s="175">
        <f t="shared" si="21"/>
        <v>42005</v>
      </c>
      <c r="C90" s="175">
        <v>42094</v>
      </c>
      <c r="D90" s="218">
        <f t="shared" si="22"/>
        <v>90</v>
      </c>
      <c r="E90" s="219">
        <v>3.25</v>
      </c>
      <c r="F90" s="220">
        <f t="shared" si="19"/>
        <v>136.47785816944028</v>
      </c>
      <c r="G90" s="220">
        <f t="shared" si="20"/>
        <v>1.0936924250564735</v>
      </c>
      <c r="H90" s="220">
        <f>F$62/20</f>
        <v>125</v>
      </c>
      <c r="I90" s="258">
        <f t="shared" si="14"/>
        <v>11.477858169440006</v>
      </c>
      <c r="J90" s="259">
        <f>+F90-H90-I90</f>
        <v>2.7533531010703882E-13</v>
      </c>
    </row>
    <row r="91" spans="1:10" x14ac:dyDescent="0.2">
      <c r="A91" s="180"/>
      <c r="B91" s="175"/>
      <c r="C91" s="175"/>
      <c r="D91" s="218"/>
      <c r="E91" s="219"/>
      <c r="F91" s="220"/>
      <c r="G91" s="220"/>
      <c r="H91" s="220"/>
      <c r="I91" s="258"/>
      <c r="J91" s="259"/>
    </row>
    <row r="92" spans="1:10" x14ac:dyDescent="0.2">
      <c r="A92" s="180"/>
      <c r="B92" s="175"/>
      <c r="C92" s="175"/>
      <c r="D92" s="218"/>
      <c r="E92" s="219"/>
      <c r="F92" s="220"/>
      <c r="G92" s="220"/>
      <c r="H92" s="220"/>
      <c r="I92" s="258"/>
      <c r="J92" s="259"/>
    </row>
    <row r="93" spans="1:10" x14ac:dyDescent="0.2">
      <c r="A93" s="181"/>
      <c r="B93" s="182"/>
      <c r="C93" s="175"/>
      <c r="D93" s="218"/>
      <c r="E93" s="219"/>
      <c r="F93" s="260"/>
      <c r="G93" s="260"/>
      <c r="H93" s="260"/>
      <c r="I93" s="258"/>
      <c r="J93" s="217"/>
    </row>
  </sheetData>
  <mergeCells count="4">
    <mergeCell ref="E71:F71"/>
    <mergeCell ref="A31:B31"/>
    <mergeCell ref="A33:J33"/>
    <mergeCell ref="A59:J59"/>
  </mergeCells>
  <phoneticPr fontId="2" type="noConversion"/>
  <pageMargins left="0.5" right="0.5" top="1" bottom="0.89" header="0.5" footer="0.5"/>
  <pageSetup scale="61" orientation="landscape" r:id="rId1"/>
  <headerFooter alignWithMargins="0">
    <oddHeader>&amp;C&amp;A&amp;RAttachment 4
WP-Schedule 22 
&amp;P of &amp;N</oddHeader>
  </headerFooter>
  <rowBreaks count="2" manualBreakCount="2">
    <brk id="32" max="11" man="1"/>
    <brk id="5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 enableFormatConditionsCalculation="0">
    <tabColor theme="0" tint="-4.9989318521683403E-2"/>
  </sheetPr>
  <dimension ref="A1:L61"/>
  <sheetViews>
    <sheetView topLeftCell="C29" zoomScaleNormal="100" zoomScaleSheetLayoutView="85" workbookViewId="0">
      <selection activeCell="B41" sqref="B41"/>
    </sheetView>
  </sheetViews>
  <sheetFormatPr defaultRowHeight="12.75" x14ac:dyDescent="0.2"/>
  <cols>
    <col min="1" max="1" width="37" style="337" customWidth="1"/>
    <col min="2" max="5" width="14" style="340" bestFit="1" customWidth="1"/>
    <col min="6" max="6" width="15.5703125" style="340" customWidth="1"/>
    <col min="7" max="7" width="16.85546875" style="340" bestFit="1" customWidth="1"/>
    <col min="8" max="8" width="15.7109375" style="340" bestFit="1" customWidth="1"/>
    <col min="9" max="9" width="16.140625" style="340" customWidth="1"/>
    <col min="10" max="10" width="10.140625" style="337" bestFit="1" customWidth="1"/>
    <col min="11" max="12" width="14" style="337" bestFit="1" customWidth="1"/>
    <col min="13" max="16384" width="9.140625" style="337"/>
  </cols>
  <sheetData>
    <row r="1" spans="1:10" s="281" customFormat="1" ht="15.75" x14ac:dyDescent="0.25">
      <c r="A1" s="382" t="s">
        <v>200</v>
      </c>
      <c r="B1" s="384"/>
      <c r="C1" s="384"/>
      <c r="D1" s="384"/>
      <c r="E1" s="384"/>
      <c r="F1" s="384"/>
      <c r="G1" s="244"/>
      <c r="J1" s="334"/>
    </row>
    <row r="2" spans="1:10" x14ac:dyDescent="0.2">
      <c r="A2" s="19"/>
      <c r="B2" s="206"/>
      <c r="C2" s="206"/>
      <c r="D2" s="206"/>
      <c r="E2" s="206"/>
      <c r="F2" s="206"/>
      <c r="G2" s="206"/>
      <c r="H2" s="206"/>
      <c r="I2" s="206"/>
      <c r="J2" s="336"/>
    </row>
    <row r="3" spans="1:10" x14ac:dyDescent="0.2">
      <c r="A3" s="338"/>
      <c r="B3" s="339"/>
      <c r="C3" s="339"/>
      <c r="D3" s="339"/>
      <c r="E3" s="339"/>
      <c r="F3" s="339"/>
    </row>
    <row r="4" spans="1:10" x14ac:dyDescent="0.2">
      <c r="A4" s="262" t="s">
        <v>193</v>
      </c>
      <c r="B4" s="283" t="s">
        <v>133</v>
      </c>
      <c r="C4" s="283" t="s">
        <v>134</v>
      </c>
      <c r="D4" s="283" t="s">
        <v>135</v>
      </c>
      <c r="E4" s="283" t="s">
        <v>136</v>
      </c>
      <c r="F4" s="283" t="s">
        <v>0</v>
      </c>
      <c r="G4" s="331" t="s">
        <v>197</v>
      </c>
      <c r="H4" s="283" t="s">
        <v>198</v>
      </c>
      <c r="I4" s="283" t="s">
        <v>137</v>
      </c>
    </row>
    <row r="5" spans="1:10" x14ac:dyDescent="0.2">
      <c r="A5" s="229" t="s">
        <v>3</v>
      </c>
      <c r="B5" s="230">
        <f>'NPC Lenzie - Breakers'!H32+'NPC Lenzie - Breakers'!H58</f>
        <v>51184.608</v>
      </c>
      <c r="C5" s="230">
        <f>'NPC Lenzie - Breakers'!H33+'NPC Lenzie - Breakers'!H59</f>
        <v>51184.608</v>
      </c>
      <c r="D5" s="230">
        <f>'NPC Lenzie - Breakers'!H34+'NPC Lenzie - Breakers'!H60</f>
        <v>51184.608</v>
      </c>
      <c r="E5" s="230">
        <f>'NPC Lenzie - Breakers'!H35+'NPC Lenzie - Breakers'!H61</f>
        <v>51184.608</v>
      </c>
      <c r="F5" s="230">
        <f>SUM(B5:E5)</f>
        <v>204738.432</v>
      </c>
      <c r="G5" s="226">
        <f>'NPC Lenzie - Breakers'!C7</f>
        <v>1023692.1599999999</v>
      </c>
      <c r="H5" s="209">
        <f>SUM('NPC Lenzie - Breakers'!H15:H35)+SUM('NPC Lenzie - Breakers'!H41:H61)</f>
        <v>1023692.1599999997</v>
      </c>
      <c r="I5" s="209">
        <f>G5-H5</f>
        <v>0</v>
      </c>
    </row>
    <row r="6" spans="1:10" x14ac:dyDescent="0.2">
      <c r="A6" s="229" t="s">
        <v>4</v>
      </c>
      <c r="B6" s="230">
        <f>'NPC Lenzie - Breakers'!G32+'NPC Lenzie - Breakers'!I32+'NPC Lenzie - Breakers'!G58+'NPC Lenzie - Breakers'!I58</f>
        <v>2240.8393153963307</v>
      </c>
      <c r="C6" s="230">
        <f>'NPC Lenzie - Breakers'!G33+'NPC Lenzie - Breakers'!I33+'NPC Lenzie - Breakers'!G59+'NPC Lenzie - Breakers'!I59</f>
        <v>1836.7883609646224</v>
      </c>
      <c r="D6" s="230">
        <f>'NPC Lenzie - Breakers'!G34+'NPC Lenzie - Breakers'!I34+'NPC Lenzie - Breakers'!G60+'NPC Lenzie - Breakers'!I60</f>
        <v>1416.8111911097928</v>
      </c>
      <c r="E6" s="230">
        <f>'NPC Lenzie - Breakers'!G35+'NPC Lenzie - Breakers'!I35+'NPC Lenzie - Breakers'!G61+'NPC Lenzie - Breakers'!I61</f>
        <v>992.85776132538899</v>
      </c>
      <c r="F6" s="231">
        <f>SUM(B6:E6)</f>
        <v>6487.2966287961353</v>
      </c>
      <c r="G6" s="337"/>
      <c r="H6" s="337"/>
      <c r="I6" s="337"/>
    </row>
    <row r="7" spans="1:10" x14ac:dyDescent="0.2">
      <c r="A7" s="229" t="s">
        <v>5</v>
      </c>
      <c r="B7" s="230">
        <f>'NPC Lenzie - Breakers'!G98+'NPC Lenzie - Breakers'!I98</f>
        <v>747.32672154662919</v>
      </c>
      <c r="C7" s="230">
        <f>'NPC Lenzie - Breakers'!G99+'NPC Lenzie - Breakers'!I99</f>
        <v>716.37877981163308</v>
      </c>
      <c r="D7" s="230">
        <f>'NPC Lenzie - Breakers'!G100+'NPC Lenzie - Breakers'!I100</f>
        <v>682.38871630985568</v>
      </c>
      <c r="E7" s="230">
        <f>'NPC Lenzie - Breakers'!G101+'NPC Lenzie - Breakers'!I101</f>
        <v>650.82749464894005</v>
      </c>
      <c r="F7" s="230">
        <f>SUM(B7:E7)</f>
        <v>2796.9217123170579</v>
      </c>
      <c r="G7" s="337"/>
      <c r="H7" s="337"/>
      <c r="I7" s="337"/>
    </row>
    <row r="8" spans="1:10" x14ac:dyDescent="0.2">
      <c r="A8" s="229"/>
      <c r="B8" s="232"/>
      <c r="C8" s="232"/>
      <c r="D8" s="232"/>
      <c r="E8" s="232"/>
      <c r="F8" s="232"/>
      <c r="G8" s="207"/>
      <c r="H8" s="207"/>
      <c r="I8" s="207"/>
    </row>
    <row r="9" spans="1:10" x14ac:dyDescent="0.2">
      <c r="A9" s="262" t="s">
        <v>194</v>
      </c>
      <c r="B9" s="283" t="s">
        <v>133</v>
      </c>
      <c r="C9" s="283" t="s">
        <v>134</v>
      </c>
      <c r="D9" s="283" t="s">
        <v>135</v>
      </c>
      <c r="E9" s="283" t="s">
        <v>136</v>
      </c>
      <c r="F9" s="283" t="s">
        <v>0</v>
      </c>
      <c r="G9" s="331" t="s">
        <v>197</v>
      </c>
      <c r="H9" s="283" t="s">
        <v>198</v>
      </c>
      <c r="I9" s="283" t="s">
        <v>137</v>
      </c>
    </row>
    <row r="10" spans="1:10" x14ac:dyDescent="0.2">
      <c r="A10" s="229" t="s">
        <v>3</v>
      </c>
      <c r="B10" s="233">
        <f>SNWA!H39</f>
        <v>5641.2074999999995</v>
      </c>
      <c r="C10" s="233">
        <f>SNWA!H40</f>
        <v>5641.2074999999995</v>
      </c>
      <c r="D10" s="233">
        <v>0</v>
      </c>
      <c r="E10" s="233">
        <f>SNWA!H42</f>
        <v>0</v>
      </c>
      <c r="F10" s="233">
        <f>SUM(B10:E10)</f>
        <v>11282.414999999999</v>
      </c>
      <c r="G10" s="227">
        <f>SNWA!C7</f>
        <v>112824.15</v>
      </c>
      <c r="H10" s="210">
        <f>SUM(SNWA!H20:H40)</f>
        <v>112824.15000000001</v>
      </c>
      <c r="I10" s="210">
        <f>G10-H10</f>
        <v>0</v>
      </c>
    </row>
    <row r="11" spans="1:10" x14ac:dyDescent="0.2">
      <c r="A11" s="229" t="s">
        <v>5</v>
      </c>
      <c r="B11" s="233">
        <f>SNWA!G39+SNWA!I39</f>
        <v>473.34078671247238</v>
      </c>
      <c r="C11" s="233">
        <f>SNWA!G40+SNWA!I40</f>
        <v>425.64945350682098</v>
      </c>
      <c r="D11" s="233">
        <v>0</v>
      </c>
      <c r="E11" s="233">
        <f>SNWA!G42+SNWA!I42</f>
        <v>0</v>
      </c>
      <c r="F11" s="234">
        <f>SUM(B11:E11)</f>
        <v>898.99024021929336</v>
      </c>
      <c r="G11" s="337"/>
      <c r="H11" s="337"/>
      <c r="I11" s="337"/>
    </row>
    <row r="12" spans="1:10" x14ac:dyDescent="0.2">
      <c r="A12" s="229" t="s">
        <v>5</v>
      </c>
      <c r="B12" s="233">
        <f>SNWA!G77+SNWA!I77</f>
        <v>33.113573179358703</v>
      </c>
      <c r="C12" s="233">
        <f>SNWA!G78+SNWA!I78</f>
        <v>30.075687142763599</v>
      </c>
      <c r="D12" s="233">
        <v>0</v>
      </c>
      <c r="E12" s="233">
        <f>SNWA!G80+SNWA!I80</f>
        <v>0</v>
      </c>
      <c r="F12" s="233">
        <f>SUM(B12:E12)</f>
        <v>63.189260322122301</v>
      </c>
      <c r="G12" s="337"/>
      <c r="H12" s="337"/>
      <c r="I12" s="337"/>
    </row>
    <row r="13" spans="1:10" x14ac:dyDescent="0.2">
      <c r="A13" s="16"/>
      <c r="B13" s="230"/>
      <c r="C13" s="230"/>
      <c r="D13" s="230"/>
      <c r="E13" s="230"/>
      <c r="F13" s="230"/>
      <c r="G13" s="206"/>
      <c r="H13" s="206"/>
      <c r="I13" s="206"/>
    </row>
    <row r="14" spans="1:10" x14ac:dyDescent="0.2">
      <c r="A14" s="262" t="s">
        <v>139</v>
      </c>
      <c r="B14" s="283" t="s">
        <v>133</v>
      </c>
      <c r="C14" s="283" t="s">
        <v>134</v>
      </c>
      <c r="D14" s="283" t="s">
        <v>135</v>
      </c>
      <c r="E14" s="283" t="s">
        <v>136</v>
      </c>
      <c r="F14" s="283" t="s">
        <v>0</v>
      </c>
      <c r="G14" s="331" t="s">
        <v>197</v>
      </c>
      <c r="H14" s="283" t="s">
        <v>198</v>
      </c>
      <c r="I14" s="283" t="s">
        <v>137</v>
      </c>
    </row>
    <row r="15" spans="1:10" x14ac:dyDescent="0.2">
      <c r="A15" s="229" t="s">
        <v>3</v>
      </c>
      <c r="B15" s="230">
        <f>Lugo!H56</f>
        <v>507915.21222222201</v>
      </c>
      <c r="C15" s="230">
        <f>Lugo!H57</f>
        <v>507915.21222222201</v>
      </c>
      <c r="D15" s="230">
        <f>Lugo!H58</f>
        <v>507915.21222222201</v>
      </c>
      <c r="E15" s="230">
        <f>Lugo!H59</f>
        <v>507915.21222222201</v>
      </c>
      <c r="F15" s="230">
        <f>SUM(B15:E15)</f>
        <v>2031660.848888888</v>
      </c>
      <c r="G15" s="228">
        <f>Lugo!H32</f>
        <v>11374630.049999999</v>
      </c>
      <c r="H15" s="209">
        <f>SUM(Lugo!H41:H59)</f>
        <v>10866714.862222221</v>
      </c>
      <c r="I15" s="211">
        <f>G15-H15</f>
        <v>507915.18777777813</v>
      </c>
    </row>
    <row r="16" spans="1:10" x14ac:dyDescent="0.2">
      <c r="A16" s="229" t="s">
        <v>4</v>
      </c>
      <c r="B16" s="230">
        <f>Lugo!G56+Lugo!I56</f>
        <v>43209.243524648933</v>
      </c>
      <c r="C16" s="230">
        <f>Lugo!G57+Lugo!I57</f>
        <v>39151.573836966898</v>
      </c>
      <c r="D16" s="230">
        <f>Lugo!G58+Lugo!I58</f>
        <v>34999.539737994033</v>
      </c>
      <c r="E16" s="230">
        <f>Lugo!G59+Lugo!I59</f>
        <v>30658.776818616072</v>
      </c>
      <c r="F16" s="231">
        <f>SUM(B16:E16)</f>
        <v>148019.13391822594</v>
      </c>
      <c r="G16" s="337"/>
      <c r="H16" s="337"/>
      <c r="I16" s="337"/>
    </row>
    <row r="17" spans="1:12" x14ac:dyDescent="0.2">
      <c r="A17" s="229" t="s">
        <v>5</v>
      </c>
      <c r="B17" s="230">
        <f>Lugo!G82+Lugo!I82</f>
        <v>650.3392350989069</v>
      </c>
      <c r="C17" s="230">
        <f>Lugo!G83+Lugo!I83</f>
        <v>593.79869010064431</v>
      </c>
      <c r="D17" s="235">
        <f>Lugo!G84+Lugo!I84</f>
        <v>535.94324874124015</v>
      </c>
      <c r="E17" s="230">
        <f>Lugo!G85+Lugo!I85</f>
        <v>475.458016128731</v>
      </c>
      <c r="F17" s="230">
        <f>SUM(B17:E17)</f>
        <v>2255.5391900695222</v>
      </c>
      <c r="G17" s="337"/>
      <c r="H17" s="337"/>
      <c r="I17" s="337"/>
    </row>
    <row r="18" spans="1:12" x14ac:dyDescent="0.2">
      <c r="A18" s="16"/>
      <c r="B18" s="230"/>
      <c r="C18" s="230"/>
      <c r="D18" s="230"/>
      <c r="E18" s="230"/>
      <c r="F18" s="230"/>
      <c r="G18" s="206"/>
      <c r="H18" s="206"/>
      <c r="I18" s="206"/>
      <c r="K18" s="341"/>
      <c r="L18" s="341"/>
    </row>
    <row r="19" spans="1:12" x14ac:dyDescent="0.2">
      <c r="A19" s="262" t="s">
        <v>138</v>
      </c>
      <c r="B19" s="283" t="s">
        <v>133</v>
      </c>
      <c r="C19" s="283" t="s">
        <v>134</v>
      </c>
      <c r="D19" s="283" t="s">
        <v>135</v>
      </c>
      <c r="E19" s="283" t="s">
        <v>136</v>
      </c>
      <c r="F19" s="283" t="s">
        <v>0</v>
      </c>
      <c r="G19" s="331" t="s">
        <v>197</v>
      </c>
      <c r="H19" s="283" t="s">
        <v>198</v>
      </c>
      <c r="I19" s="283" t="s">
        <v>137</v>
      </c>
    </row>
    <row r="20" spans="1:12" x14ac:dyDescent="0.2">
      <c r="A20" s="229" t="s">
        <v>3</v>
      </c>
      <c r="B20" s="230">
        <f>Moenkopi!H55</f>
        <v>717133.299</v>
      </c>
      <c r="C20" s="230">
        <f>Moenkopi!H56</f>
        <v>717133.299</v>
      </c>
      <c r="D20" s="230">
        <f>Moenkopi!H57</f>
        <v>717133.299</v>
      </c>
      <c r="E20" s="230">
        <f>Moenkopi!H58</f>
        <v>717133.299</v>
      </c>
      <c r="F20" s="230">
        <f>SUM(B20:E20)</f>
        <v>2868533.196</v>
      </c>
      <c r="G20" s="228">
        <f>Moenkopi!H33</f>
        <v>15869992.810000001</v>
      </c>
      <c r="H20" s="209">
        <f>SUM(Moenkopi!H40:H58)</f>
        <v>14435726.217000002</v>
      </c>
      <c r="I20" s="211">
        <f>G20-H20</f>
        <v>1434266.5929999985</v>
      </c>
    </row>
    <row r="21" spans="1:12" x14ac:dyDescent="0.2">
      <c r="A21" s="229" t="s">
        <v>4</v>
      </c>
      <c r="B21" s="230">
        <f>Moenkopi!G55+Moenkopi!I55</f>
        <v>56641.233397719036</v>
      </c>
      <c r="C21" s="230">
        <f>Moenkopi!G56+Moenkopi!I56</f>
        <v>51053.592184728048</v>
      </c>
      <c r="D21" s="230">
        <f>Moenkopi!G57+Moenkopi!I57</f>
        <v>45334.477060853635</v>
      </c>
      <c r="E21" s="230">
        <f>Moenkopi!G58+Moenkopi!I58</f>
        <v>39286.677160215841</v>
      </c>
      <c r="F21" s="231">
        <f>SUM(B21:E21)</f>
        <v>192315.97980351659</v>
      </c>
      <c r="G21" s="337"/>
      <c r="H21" s="337"/>
      <c r="I21" s="337"/>
    </row>
    <row r="22" spans="1:12" x14ac:dyDescent="0.2">
      <c r="A22" s="229" t="s">
        <v>5</v>
      </c>
      <c r="B22" s="230">
        <f>Moenkopi!G83+Moenkopi!I83</f>
        <v>1002.1232683015041</v>
      </c>
      <c r="C22" s="230">
        <f>Moenkopi!G84+Moenkopi!I84</f>
        <v>922.23293768020562</v>
      </c>
      <c r="D22" s="235">
        <f>Moenkopi!G85+Moenkopi!I85</f>
        <v>840.46283455274943</v>
      </c>
      <c r="E22" s="230">
        <f>Moenkopi!G86+Moenkopi!I86</f>
        <v>753.99329926948735</v>
      </c>
      <c r="F22" s="230">
        <f>SUM(B22:E22)</f>
        <v>3518.812339803947</v>
      </c>
      <c r="H22" s="337"/>
      <c r="I22" s="337"/>
    </row>
    <row r="23" spans="1:12" x14ac:dyDescent="0.2">
      <c r="A23" s="16"/>
      <c r="B23" s="230"/>
      <c r="C23" s="230"/>
      <c r="D23" s="230"/>
      <c r="E23" s="230"/>
      <c r="F23" s="230"/>
      <c r="G23" s="206"/>
      <c r="H23" s="206"/>
      <c r="I23" s="206"/>
    </row>
    <row r="24" spans="1:12" s="1" customFormat="1" x14ac:dyDescent="0.2">
      <c r="A24" s="262" t="s">
        <v>195</v>
      </c>
      <c r="B24" s="283" t="s">
        <v>133</v>
      </c>
      <c r="C24" s="283" t="s">
        <v>134</v>
      </c>
      <c r="D24" s="283" t="s">
        <v>135</v>
      </c>
      <c r="E24" s="283" t="s">
        <v>136</v>
      </c>
      <c r="F24" s="283" t="s">
        <v>0</v>
      </c>
      <c r="G24" s="331" t="s">
        <v>197</v>
      </c>
      <c r="H24" s="283" t="s">
        <v>198</v>
      </c>
      <c r="I24" s="283" t="s">
        <v>137</v>
      </c>
    </row>
    <row r="25" spans="1:12" s="1" customFormat="1" x14ac:dyDescent="0.2">
      <c r="A25" s="236" t="s">
        <v>3</v>
      </c>
      <c r="B25" s="230">
        <f>Magnolia!H29</f>
        <v>25800</v>
      </c>
      <c r="C25" s="230">
        <f>Magnolia!H30</f>
        <v>25800</v>
      </c>
      <c r="D25" s="230">
        <f>Magnolia!H31</f>
        <v>25800</v>
      </c>
      <c r="E25" s="230">
        <f>Magnolia!H32</f>
        <v>25800</v>
      </c>
      <c r="F25" s="230">
        <f>SUM(B25:E25)</f>
        <v>103200</v>
      </c>
      <c r="G25" s="228">
        <f>Magnolia!D3</f>
        <v>516000</v>
      </c>
      <c r="H25" s="209">
        <f>SUM(Magnolia!H15:H32)</f>
        <v>438600</v>
      </c>
      <c r="I25" s="211">
        <f>G25-H25</f>
        <v>77400</v>
      </c>
    </row>
    <row r="26" spans="1:12" s="1" customFormat="1" x14ac:dyDescent="0.2">
      <c r="A26" s="236" t="s">
        <v>4</v>
      </c>
      <c r="B26" s="230">
        <f>Magnolia!G29+Magnolia!I29</f>
        <v>4052.7528891689935</v>
      </c>
      <c r="C26" s="230">
        <f>Magnolia!G30+Magnolia!I30</f>
        <v>3841.3305780270744</v>
      </c>
      <c r="D26" s="230">
        <f>Magnolia!G31+Magnolia!I31</f>
        <v>3624.8744023341569</v>
      </c>
      <c r="E26" s="230">
        <f>Magnolia!G32+Magnolia!I32</f>
        <v>3393.3166329882451</v>
      </c>
      <c r="F26" s="230">
        <f>SUM(B26:E26)</f>
        <v>14912.27450251847</v>
      </c>
    </row>
    <row r="27" spans="1:12" s="1" customFormat="1" x14ac:dyDescent="0.2">
      <c r="A27" s="236" t="s">
        <v>5</v>
      </c>
      <c r="B27" s="230">
        <f>Magnolia!G70+Magnolia!I70</f>
        <v>299.91559838584772</v>
      </c>
      <c r="C27" s="230">
        <f>Magnolia!G71+Magnolia!I71</f>
        <v>289.86549778760127</v>
      </c>
      <c r="D27" s="230">
        <f>Magnolia!G72+Magnolia!I72</f>
        <v>279.57808170253298</v>
      </c>
      <c r="E27" s="230">
        <f>Magnolia!G73+Magnolia!I73</f>
        <v>268.66156930872495</v>
      </c>
      <c r="F27" s="230">
        <f>SUM(B27:E27)</f>
        <v>1138.0207471847068</v>
      </c>
    </row>
    <row r="28" spans="1:12" x14ac:dyDescent="0.2">
      <c r="A28" s="16"/>
      <c r="B28" s="230"/>
      <c r="C28" s="230"/>
      <c r="D28" s="230"/>
      <c r="E28" s="230"/>
      <c r="F28" s="230"/>
      <c r="G28" s="206"/>
      <c r="H28" s="206"/>
      <c r="I28" s="206"/>
    </row>
    <row r="29" spans="1:12" x14ac:dyDescent="0.2">
      <c r="A29" s="262" t="s">
        <v>141</v>
      </c>
      <c r="B29" s="283" t="s">
        <v>133</v>
      </c>
      <c r="C29" s="283" t="s">
        <v>134</v>
      </c>
      <c r="D29" s="283" t="s">
        <v>135</v>
      </c>
      <c r="E29" s="283" t="s">
        <v>136</v>
      </c>
      <c r="F29" s="283" t="s">
        <v>0</v>
      </c>
      <c r="G29" s="331" t="s">
        <v>197</v>
      </c>
      <c r="H29" s="283" t="s">
        <v>198</v>
      </c>
      <c r="I29" s="283" t="s">
        <v>137</v>
      </c>
    </row>
    <row r="30" spans="1:12" x14ac:dyDescent="0.2">
      <c r="A30" s="229" t="s">
        <v>3</v>
      </c>
      <c r="B30" s="230">
        <f>Mountainview!H54</f>
        <v>601481.94000000018</v>
      </c>
      <c r="C30" s="230">
        <f>Mountainview!H55</f>
        <v>601481.94000000018</v>
      </c>
      <c r="D30" s="230">
        <f>Mountainview!H56</f>
        <v>601481.94000000018</v>
      </c>
      <c r="E30" s="230">
        <f>Mountainview!H57</f>
        <v>601481.94000000018</v>
      </c>
      <c r="F30" s="230">
        <f>SUM(B30:E30)</f>
        <v>2405927.7600000007</v>
      </c>
      <c r="G30" s="226">
        <f>Mountainview!C29</f>
        <v>12029638.800000003</v>
      </c>
      <c r="H30" s="209">
        <f>SUM(Mountainview!H41:H57)</f>
        <v>9022229.1000000034</v>
      </c>
      <c r="I30" s="209">
        <f>G30-H30</f>
        <v>3007409.6999999993</v>
      </c>
    </row>
    <row r="31" spans="1:12" x14ac:dyDescent="0.2">
      <c r="A31" s="229" t="s">
        <v>4</v>
      </c>
      <c r="B31" s="230">
        <f>Mountainview!G54+Mountainview!I54</f>
        <v>124557.69325795447</v>
      </c>
      <c r="C31" s="230">
        <f>Mountainview!G55+Mountainview!I55</f>
        <v>119613.22095837625</v>
      </c>
      <c r="D31" s="230">
        <f>Mountainview!G56+Mountainview!I56</f>
        <v>114548.15177344246</v>
      </c>
      <c r="E31" s="230">
        <f>Mountainview!G57+Mountainview!I57</f>
        <v>109000.6950470864</v>
      </c>
      <c r="F31" s="231">
        <f>SUM(B31:E31)</f>
        <v>467719.76103685953</v>
      </c>
      <c r="G31" s="337"/>
      <c r="H31" s="337"/>
      <c r="I31" s="337"/>
    </row>
    <row r="32" spans="1:12" x14ac:dyDescent="0.2">
      <c r="A32" s="229" t="s">
        <v>5</v>
      </c>
      <c r="B32" s="230">
        <f>SUM(Mountainview!G104+Mountainview!I104)+(Mountainview!G153+Mountainview!I153)</f>
        <v>12594.032056002408</v>
      </c>
      <c r="C32" s="230">
        <f>SUM(Mountainview!G105+Mountainview!I105)+(Mountainview!G154+Mountainview!I154)</f>
        <v>12343.839141757864</v>
      </c>
      <c r="D32" s="230">
        <f>SUM(Mountainview!G106+Mountainview!I106)+(Mountainview!G155+Mountainview!I155)</f>
        <v>12087.543961312233</v>
      </c>
      <c r="E32" s="230">
        <f>SUM(Mountainview!G107+Mountainview!I107)+(Mountainview!G156+Mountainview!I156)</f>
        <v>11806.839716062257</v>
      </c>
      <c r="F32" s="230">
        <f>SUM(B32:E32)</f>
        <v>48832.254875134764</v>
      </c>
      <c r="G32" s="337"/>
      <c r="H32" s="337"/>
      <c r="I32" s="337"/>
    </row>
    <row r="33" spans="1:9" x14ac:dyDescent="0.2">
      <c r="A33" s="16"/>
      <c r="B33" s="230"/>
      <c r="C33" s="230"/>
      <c r="D33" s="230"/>
      <c r="E33" s="230"/>
      <c r="F33" s="230"/>
      <c r="G33" s="206"/>
      <c r="H33" s="206"/>
      <c r="I33" s="206"/>
    </row>
    <row r="34" spans="1:9" x14ac:dyDescent="0.2">
      <c r="A34" s="262" t="s">
        <v>140</v>
      </c>
      <c r="B34" s="283" t="s">
        <v>133</v>
      </c>
      <c r="C34" s="283" t="s">
        <v>134</v>
      </c>
      <c r="D34" s="283" t="s">
        <v>135</v>
      </c>
      <c r="E34" s="283" t="s">
        <v>136</v>
      </c>
      <c r="F34" s="283" t="s">
        <v>0</v>
      </c>
      <c r="G34" s="331" t="s">
        <v>197</v>
      </c>
      <c r="H34" s="283" t="s">
        <v>198</v>
      </c>
      <c r="I34" s="283" t="s">
        <v>137</v>
      </c>
    </row>
    <row r="35" spans="1:9" x14ac:dyDescent="0.2">
      <c r="A35" s="229" t="s">
        <v>3</v>
      </c>
      <c r="B35" s="230">
        <f>Pastoria!H71</f>
        <v>544411.66500000004</v>
      </c>
      <c r="C35" s="230">
        <f>Pastoria!H72</f>
        <v>544411.66500000004</v>
      </c>
      <c r="D35" s="230">
        <f>Pastoria!H73</f>
        <v>0</v>
      </c>
      <c r="E35" s="230">
        <f>Pastoria!H74</f>
        <v>0</v>
      </c>
      <c r="F35" s="230">
        <f>SUM(B35:E35)</f>
        <v>1088823.33</v>
      </c>
      <c r="G35" s="226">
        <f>Pastoria!C35</f>
        <v>10888233.300000001</v>
      </c>
      <c r="H35" s="209">
        <f>SUM(Pastoria!H52:H72)</f>
        <v>10888233.299999997</v>
      </c>
      <c r="I35" s="209">
        <f>G35-H35</f>
        <v>0</v>
      </c>
    </row>
    <row r="36" spans="1:9" x14ac:dyDescent="0.2">
      <c r="A36" s="229" t="s">
        <v>4</v>
      </c>
      <c r="B36" s="230">
        <f>Pastoria!G71+Pastoria!I71</f>
        <v>21740.773096842331</v>
      </c>
      <c r="C36" s="230">
        <f>Pastoria!G72+Pastoria!I72</f>
        <v>17324.98254218381</v>
      </c>
      <c r="D36" s="230">
        <f>Pastoria!G73+Pastoria!I73</f>
        <v>2.5986929819600226E-11</v>
      </c>
      <c r="E36" s="230">
        <f>Pastoria!G74+Pastoria!I74</f>
        <v>0</v>
      </c>
      <c r="F36" s="231">
        <f>SUM(B36:E36)</f>
        <v>39065.755639026174</v>
      </c>
      <c r="G36" s="337"/>
      <c r="H36" s="337"/>
      <c r="I36" s="337"/>
    </row>
    <row r="37" spans="1:9" x14ac:dyDescent="0.2">
      <c r="A37" s="229" t="s">
        <v>5</v>
      </c>
      <c r="B37" s="230">
        <f>Pastoria!J577</f>
        <v>4974.1932113014254</v>
      </c>
      <c r="C37" s="230">
        <f>Pastoria!J578</f>
        <v>4760.4190852493184</v>
      </c>
      <c r="D37" s="230">
        <f>Pastoria!J579</f>
        <v>0</v>
      </c>
      <c r="E37" s="230">
        <f>Pastoria!J580</f>
        <v>0</v>
      </c>
      <c r="F37" s="230">
        <f>SUM(B37:E37)</f>
        <v>9734.6122965507438</v>
      </c>
      <c r="G37" s="337"/>
      <c r="H37" s="337"/>
      <c r="I37" s="337"/>
    </row>
    <row r="38" spans="1:9" x14ac:dyDescent="0.2">
      <c r="A38" s="338"/>
      <c r="B38" s="339"/>
      <c r="C38" s="339"/>
      <c r="D38" s="339"/>
      <c r="E38" s="339"/>
      <c r="F38" s="339"/>
    </row>
    <row r="39" spans="1:9" x14ac:dyDescent="0.2">
      <c r="A39" s="262" t="s">
        <v>196</v>
      </c>
      <c r="B39" s="283" t="s">
        <v>133</v>
      </c>
      <c r="C39" s="283" t="s">
        <v>134</v>
      </c>
      <c r="D39" s="283" t="s">
        <v>135</v>
      </c>
      <c r="E39" s="283" t="s">
        <v>136</v>
      </c>
      <c r="F39" s="283" t="s">
        <v>0</v>
      </c>
      <c r="G39" s="331" t="s">
        <v>197</v>
      </c>
      <c r="H39" s="283" t="s">
        <v>198</v>
      </c>
      <c r="I39" s="283" t="s">
        <v>137</v>
      </c>
    </row>
    <row r="40" spans="1:9" x14ac:dyDescent="0.2">
      <c r="A40" s="229" t="s">
        <v>3</v>
      </c>
      <c r="B40" s="230">
        <v>0</v>
      </c>
      <c r="C40" s="230">
        <f>'Blythe I'!H36</f>
        <v>1322600</v>
      </c>
      <c r="D40" s="237">
        <f>'Blythe I'!H37</f>
        <v>1322600</v>
      </c>
      <c r="E40" s="237">
        <f>'Blythe I'!H38</f>
        <v>1322600</v>
      </c>
      <c r="F40" s="230">
        <f>SUM(B40:E40)</f>
        <v>3967800</v>
      </c>
      <c r="G40" s="228">
        <f>'Blythe I'!D29</f>
        <v>26452000</v>
      </c>
      <c r="H40" s="211">
        <f>SUM('Blythe I'!H36:H38)</f>
        <v>3967800</v>
      </c>
      <c r="I40" s="209">
        <f>G40-H40</f>
        <v>22484200</v>
      </c>
    </row>
    <row r="41" spans="1:9" x14ac:dyDescent="0.2">
      <c r="A41" s="229" t="s">
        <v>4</v>
      </c>
      <c r="B41" s="230">
        <v>0</v>
      </c>
      <c r="C41" s="230">
        <f>'Blythe I'!G36</f>
        <v>47106.301369863009</v>
      </c>
      <c r="D41" s="230">
        <f>'Blythe I'!G37</f>
        <v>205854.53698630139</v>
      </c>
      <c r="E41" s="230">
        <f>'Blythe I'!G38</f>
        <v>195020.0876712329</v>
      </c>
      <c r="F41" s="231">
        <f>SUM(B41:E41)</f>
        <v>447980.92602739728</v>
      </c>
      <c r="G41" s="337"/>
      <c r="H41" s="337"/>
      <c r="I41" s="337"/>
    </row>
    <row r="42" spans="1:9" x14ac:dyDescent="0.2">
      <c r="A42" s="229" t="s">
        <v>5</v>
      </c>
      <c r="B42" s="230">
        <v>0</v>
      </c>
      <c r="C42" s="235">
        <f>'Blythe I'!G70+'Blythe I'!I70</f>
        <v>33.416982418089304</v>
      </c>
      <c r="D42" s="230">
        <f>'Blythe I'!G72+'Blythe I'!I72</f>
        <v>32.719795491647915</v>
      </c>
      <c r="E42" s="230">
        <f>'Blythe I'!G73+'Blythe I'!I73</f>
        <v>31.60179879047908</v>
      </c>
      <c r="F42" s="230">
        <f>SUM(B42:E42)</f>
        <v>97.738576700216299</v>
      </c>
      <c r="G42" s="337"/>
      <c r="H42" s="337"/>
      <c r="I42" s="337"/>
    </row>
    <row r="43" spans="1:9" x14ac:dyDescent="0.2">
      <c r="A43" s="263"/>
      <c r="B43" s="230"/>
      <c r="C43" s="230"/>
      <c r="D43" s="230"/>
      <c r="E43" s="230"/>
      <c r="F43" s="238"/>
      <c r="G43" s="206"/>
      <c r="H43" s="206"/>
      <c r="I43" s="206"/>
    </row>
    <row r="44" spans="1:9" x14ac:dyDescent="0.2">
      <c r="A44" s="262" t="s">
        <v>159</v>
      </c>
      <c r="B44" s="283" t="s">
        <v>133</v>
      </c>
      <c r="C44" s="283" t="s">
        <v>134</v>
      </c>
      <c r="D44" s="283" t="s">
        <v>135</v>
      </c>
      <c r="E44" s="283" t="s">
        <v>136</v>
      </c>
      <c r="F44" s="283" t="s">
        <v>0</v>
      </c>
      <c r="G44" s="331" t="s">
        <v>197</v>
      </c>
      <c r="H44" s="283" t="s">
        <v>198</v>
      </c>
      <c r="I44" s="283" t="s">
        <v>137</v>
      </c>
    </row>
    <row r="45" spans="1:9" x14ac:dyDescent="0.2">
      <c r="A45" s="229" t="s">
        <v>3</v>
      </c>
      <c r="B45" s="230">
        <f>'Inland Empire Energy Center'!H18</f>
        <v>249200</v>
      </c>
      <c r="C45" s="230">
        <f>'Inland Empire Energy Center'!H19</f>
        <v>249200</v>
      </c>
      <c r="D45" s="230">
        <f>'Inland Empire Energy Center'!H20</f>
        <v>249200</v>
      </c>
      <c r="E45" s="230">
        <f>'Inland Empire Energy Center'!H21</f>
        <v>249200</v>
      </c>
      <c r="F45" s="230">
        <f>SUM(B45:E45)</f>
        <v>996800</v>
      </c>
      <c r="G45" s="228">
        <f>'Inland Empire Energy Center'!D9</f>
        <v>4984000</v>
      </c>
      <c r="H45" s="209">
        <f>SUM('Inland Empire Energy Center'!H16:H21)</f>
        <v>1495200</v>
      </c>
      <c r="I45" s="211">
        <f>G45-H45</f>
        <v>3488800</v>
      </c>
    </row>
    <row r="46" spans="1:9" x14ac:dyDescent="0.2">
      <c r="A46" s="229" t="s">
        <v>4</v>
      </c>
      <c r="B46" s="230">
        <f>'Inland Empire Energy Center'!G18</f>
        <v>35946.246575342462</v>
      </c>
      <c r="C46" s="230">
        <f>'Inland Empire Energy Center'!G19</f>
        <v>34326.446575342467</v>
      </c>
      <c r="D46" s="230">
        <f>'Inland Empire Energy Center'!G20</f>
        <v>32662.268493150688</v>
      </c>
      <c r="E46" s="230">
        <f>'Inland Empire Energy Center'!G21</f>
        <v>30620.876712328769</v>
      </c>
      <c r="F46" s="230">
        <f>SUM(B46:E46)</f>
        <v>133555.8383561644</v>
      </c>
      <c r="G46" s="337"/>
      <c r="H46" s="337"/>
      <c r="I46" s="337"/>
    </row>
    <row r="47" spans="1:9" x14ac:dyDescent="0.2">
      <c r="A47" s="229" t="s">
        <v>5</v>
      </c>
      <c r="B47" s="230">
        <v>0</v>
      </c>
      <c r="C47" s="230">
        <v>0</v>
      </c>
      <c r="D47" s="230">
        <v>0</v>
      </c>
      <c r="E47" s="230">
        <v>0</v>
      </c>
      <c r="F47" s="230">
        <f>SUM(B47:E47)</f>
        <v>0</v>
      </c>
      <c r="G47" s="337"/>
      <c r="H47" s="337"/>
      <c r="I47" s="337"/>
    </row>
    <row r="48" spans="1:9" x14ac:dyDescent="0.2">
      <c r="A48" s="16"/>
      <c r="B48" s="230"/>
      <c r="C48" s="230"/>
      <c r="D48" s="230"/>
      <c r="E48" s="230"/>
      <c r="F48" s="235"/>
      <c r="G48" s="206"/>
      <c r="H48" s="206"/>
      <c r="I48" s="206"/>
    </row>
    <row r="49" spans="1:9" x14ac:dyDescent="0.2">
      <c r="A49" s="10" t="s">
        <v>199</v>
      </c>
      <c r="B49" s="283" t="s">
        <v>133</v>
      </c>
      <c r="C49" s="283" t="s">
        <v>134</v>
      </c>
      <c r="D49" s="283" t="s">
        <v>135</v>
      </c>
      <c r="E49" s="283" t="s">
        <v>136</v>
      </c>
      <c r="F49" s="283" t="s">
        <v>0</v>
      </c>
      <c r="G49" s="331" t="s">
        <v>197</v>
      </c>
      <c r="H49" s="283" t="s">
        <v>198</v>
      </c>
      <c r="I49" s="283" t="s">
        <v>137</v>
      </c>
    </row>
    <row r="50" spans="1:9" x14ac:dyDescent="0.2">
      <c r="A50" s="229" t="s">
        <v>3</v>
      </c>
      <c r="B50" s="233">
        <f>B45++B40+B35+B30+B25+B20+B15+B10+B5</f>
        <v>2702767.9317222224</v>
      </c>
      <c r="C50" s="233">
        <f>C45++C40+C35+C30+C25+C20+C15+C10+C5</f>
        <v>4025367.9317222224</v>
      </c>
      <c r="D50" s="233">
        <f>D45++D40+D35+D30+D25+D20+D15+D10+D5</f>
        <v>3475315.0592222223</v>
      </c>
      <c r="E50" s="233">
        <f>E45++E40+E35+E30+E25+E20+E15+E10+E5</f>
        <v>3475315.0592222223</v>
      </c>
      <c r="F50" s="233">
        <f>SUM(B50:E50)</f>
        <v>13678765.98188889</v>
      </c>
      <c r="G50" s="261">
        <f>G45+G40+G35+G30+G25+G20+G15+G10+G5</f>
        <v>83251011.269999996</v>
      </c>
      <c r="H50" s="227">
        <f>H45+H40+H35+H30+H25+H20+H15+H10+H5</f>
        <v>52251019.789222218</v>
      </c>
      <c r="I50" s="227">
        <f>G50-H50</f>
        <v>30999991.480777778</v>
      </c>
    </row>
    <row r="51" spans="1:9" x14ac:dyDescent="0.2">
      <c r="A51" s="229" t="s">
        <v>4</v>
      </c>
      <c r="B51" s="233">
        <f t="shared" ref="B51:E52" si="0">B46+B41+B36+B31+B26+B21+B16+B11+B6</f>
        <v>288862.12284378504</v>
      </c>
      <c r="C51" s="233">
        <f t="shared" si="0"/>
        <v>314679.88585995894</v>
      </c>
      <c r="D51" s="233">
        <f t="shared" si="0"/>
        <v>438440.6596451861</v>
      </c>
      <c r="E51" s="233">
        <f t="shared" si="0"/>
        <v>408973.28780379362</v>
      </c>
      <c r="F51" s="233">
        <f>SUM(B51:E51)</f>
        <v>1450955.9561527236</v>
      </c>
      <c r="G51" s="326"/>
      <c r="H51" s="326"/>
    </row>
    <row r="52" spans="1:9" x14ac:dyDescent="0.2">
      <c r="A52" s="229" t="s">
        <v>5</v>
      </c>
      <c r="B52" s="233">
        <f t="shared" si="0"/>
        <v>20301.043663816079</v>
      </c>
      <c r="C52" s="233">
        <f t="shared" si="0"/>
        <v>19690.026801948115</v>
      </c>
      <c r="D52" s="233">
        <f t="shared" si="0"/>
        <v>14458.636638110258</v>
      </c>
      <c r="E52" s="233">
        <f t="shared" si="0"/>
        <v>13987.381894208618</v>
      </c>
      <c r="F52" s="233">
        <f>SUM(B52:E52)</f>
        <v>68437.088998083069</v>
      </c>
      <c r="G52" s="337"/>
      <c r="H52" s="337"/>
    </row>
    <row r="53" spans="1:9" x14ac:dyDescent="0.2">
      <c r="A53" s="342"/>
    </row>
    <row r="54" spans="1:9" x14ac:dyDescent="0.2">
      <c r="A54" s="330" t="s">
        <v>129</v>
      </c>
    </row>
    <row r="55" spans="1:9" x14ac:dyDescent="0.2">
      <c r="A55" s="264" t="s">
        <v>186</v>
      </c>
    </row>
    <row r="56" spans="1:9" x14ac:dyDescent="0.2">
      <c r="A56" s="264" t="s">
        <v>187</v>
      </c>
    </row>
    <row r="57" spans="1:9" x14ac:dyDescent="0.2">
      <c r="A57" s="264" t="s">
        <v>188</v>
      </c>
    </row>
    <row r="58" spans="1:9" x14ac:dyDescent="0.2">
      <c r="A58" s="381" t="s">
        <v>189</v>
      </c>
      <c r="B58" s="381"/>
      <c r="C58" s="381"/>
      <c r="D58" s="381"/>
      <c r="E58" s="381"/>
      <c r="F58" s="381"/>
      <c r="G58" s="381"/>
      <c r="H58" s="381"/>
      <c r="I58" s="381"/>
    </row>
    <row r="59" spans="1:9" x14ac:dyDescent="0.2">
      <c r="A59" s="380" t="s">
        <v>190</v>
      </c>
      <c r="B59" s="380"/>
      <c r="C59" s="380"/>
      <c r="D59" s="380"/>
      <c r="E59" s="380"/>
      <c r="F59" s="380"/>
      <c r="G59" s="380"/>
      <c r="H59" s="380"/>
      <c r="I59" s="380"/>
    </row>
    <row r="60" spans="1:9" x14ac:dyDescent="0.2">
      <c r="A60" s="380" t="s">
        <v>191</v>
      </c>
      <c r="B60" s="380"/>
      <c r="C60" s="380"/>
      <c r="D60" s="380"/>
      <c r="E60" s="380"/>
      <c r="F60" s="380"/>
      <c r="G60" s="380"/>
      <c r="H60" s="380"/>
      <c r="I60" s="380"/>
    </row>
    <row r="61" spans="1:9" x14ac:dyDescent="0.2">
      <c r="A61" s="380" t="s">
        <v>192</v>
      </c>
      <c r="B61" s="380"/>
      <c r="C61" s="380"/>
      <c r="D61" s="380"/>
      <c r="E61" s="380"/>
      <c r="F61" s="380"/>
      <c r="G61" s="380"/>
      <c r="H61" s="380"/>
      <c r="I61" s="380"/>
    </row>
  </sheetData>
  <mergeCells count="5">
    <mergeCell ref="A59:I59"/>
    <mergeCell ref="A58:I58"/>
    <mergeCell ref="A1:F1"/>
    <mergeCell ref="A60:I60"/>
    <mergeCell ref="A61:I61"/>
  </mergeCells>
  <phoneticPr fontId="2" type="noConversion"/>
  <printOptions horizontalCentered="1"/>
  <pageMargins left="0.5" right="0.5" top="1" bottom="0.89" header="0.5" footer="0.5"/>
  <pageSetup scale="61" orientation="portrait" r:id="rId1"/>
  <headerFooter alignWithMargins="0">
    <oddHeader>&amp;RAttachment 4
WP-Schedule 22 
&amp;P of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>
    <tabColor theme="0" tint="-4.9989318521683403E-2"/>
  </sheetPr>
  <dimension ref="A2:J77"/>
  <sheetViews>
    <sheetView view="pageLayout" topLeftCell="A16" zoomScaleNormal="85" workbookViewId="0">
      <selection activeCell="F47" sqref="F47"/>
    </sheetView>
  </sheetViews>
  <sheetFormatPr defaultRowHeight="12.75" x14ac:dyDescent="0.2"/>
  <cols>
    <col min="1" max="1" width="12" style="22" customWidth="1"/>
    <col min="2" max="2" width="10.5703125" style="22" customWidth="1"/>
    <col min="3" max="3" width="16.85546875" style="22" bestFit="1" customWidth="1"/>
    <col min="4" max="7" width="15.140625" style="22" customWidth="1"/>
    <col min="8" max="9" width="10.7109375" style="22" customWidth="1"/>
    <col min="10" max="10" width="13" style="22" customWidth="1"/>
    <col min="11" max="16384" width="9.140625" style="22"/>
  </cols>
  <sheetData>
    <row r="2" spans="1:10" ht="25.5" x14ac:dyDescent="0.2">
      <c r="A2" s="42"/>
      <c r="B2" s="48" t="s">
        <v>71</v>
      </c>
      <c r="C2" s="20" t="s">
        <v>8</v>
      </c>
      <c r="D2" s="48" t="s">
        <v>7</v>
      </c>
      <c r="E2" s="48" t="s">
        <v>1</v>
      </c>
      <c r="F2" s="48" t="s">
        <v>86</v>
      </c>
      <c r="G2" s="20" t="s">
        <v>0</v>
      </c>
    </row>
    <row r="3" spans="1:10" x14ac:dyDescent="0.2">
      <c r="B3" s="23">
        <v>1</v>
      </c>
      <c r="C3" s="49">
        <v>37790</v>
      </c>
      <c r="D3" s="43">
        <v>516000</v>
      </c>
      <c r="E3" s="43">
        <v>139320</v>
      </c>
      <c r="F3" s="43">
        <v>22000</v>
      </c>
      <c r="G3" s="43">
        <f>SUM(D3:F3)</f>
        <v>677320</v>
      </c>
    </row>
    <row r="5" spans="1:10" x14ac:dyDescent="0.2">
      <c r="A5" s="386" t="s">
        <v>95</v>
      </c>
      <c r="B5" s="386"/>
      <c r="C5" s="28">
        <v>38617</v>
      </c>
    </row>
    <row r="7" spans="1:10" x14ac:dyDescent="0.2">
      <c r="A7" s="387" t="s">
        <v>58</v>
      </c>
      <c r="B7" s="388"/>
      <c r="C7" s="388"/>
      <c r="D7" s="388"/>
      <c r="E7" s="388"/>
      <c r="F7" s="388"/>
      <c r="G7" s="388"/>
      <c r="H7" s="388"/>
      <c r="I7" s="388"/>
      <c r="J7" s="389"/>
    </row>
    <row r="8" spans="1:10" x14ac:dyDescent="0.2">
      <c r="A8" s="30" t="s">
        <v>10</v>
      </c>
      <c r="B8" s="30" t="s">
        <v>11</v>
      </c>
      <c r="C8" s="30" t="s">
        <v>12</v>
      </c>
      <c r="D8" s="30" t="s">
        <v>13</v>
      </c>
      <c r="E8" s="30" t="s">
        <v>14</v>
      </c>
      <c r="F8" s="30" t="s">
        <v>15</v>
      </c>
      <c r="G8" s="30" t="s">
        <v>16</v>
      </c>
      <c r="H8" s="30"/>
      <c r="I8" s="30"/>
      <c r="J8" s="30" t="s">
        <v>17</v>
      </c>
    </row>
    <row r="9" spans="1:10" ht="51" x14ac:dyDescent="0.2">
      <c r="A9" s="31" t="s">
        <v>18</v>
      </c>
      <c r="B9" s="31" t="s">
        <v>19</v>
      </c>
      <c r="C9" s="31" t="s">
        <v>20</v>
      </c>
      <c r="D9" s="31" t="s">
        <v>21</v>
      </c>
      <c r="E9" s="31" t="s">
        <v>22</v>
      </c>
      <c r="F9" s="31" t="s">
        <v>23</v>
      </c>
      <c r="G9" s="6" t="s">
        <v>130</v>
      </c>
      <c r="H9" s="6" t="s">
        <v>37</v>
      </c>
      <c r="I9" s="6" t="s">
        <v>131</v>
      </c>
      <c r="J9" s="31" t="s">
        <v>25</v>
      </c>
    </row>
    <row r="10" spans="1:10" x14ac:dyDescent="0.2">
      <c r="A10" s="102" t="s">
        <v>35</v>
      </c>
      <c r="B10" s="103">
        <f>C5</f>
        <v>38617</v>
      </c>
      <c r="C10" s="103">
        <v>38625</v>
      </c>
      <c r="D10" s="104">
        <f t="shared" ref="D10:D20" si="0">+C10-B10+1</f>
        <v>9</v>
      </c>
      <c r="E10" s="105">
        <v>5.77</v>
      </c>
      <c r="F10" s="158">
        <f>D3</f>
        <v>516000</v>
      </c>
      <c r="G10" s="107">
        <f t="shared" ref="G10:G15" si="1">+D10/365*E10/100*F10</f>
        <v>734.13369863013691</v>
      </c>
      <c r="H10" s="107"/>
      <c r="I10" s="108"/>
      <c r="J10" s="142">
        <f t="shared" ref="J10:J15" si="2">+F10+G10</f>
        <v>516734.13369863015</v>
      </c>
    </row>
    <row r="11" spans="1:10" x14ac:dyDescent="0.2">
      <c r="A11" s="109" t="s">
        <v>5</v>
      </c>
      <c r="B11" s="110">
        <f t="shared" ref="B11:B32" si="3">C10+1</f>
        <v>38626</v>
      </c>
      <c r="C11" s="110">
        <v>38717</v>
      </c>
      <c r="D11" s="111">
        <f t="shared" si="0"/>
        <v>92</v>
      </c>
      <c r="E11" s="112">
        <v>6.23</v>
      </c>
      <c r="F11" s="131">
        <f>J10</f>
        <v>516734.13369863015</v>
      </c>
      <c r="G11" s="114">
        <f t="shared" si="1"/>
        <v>8114.2831800193662</v>
      </c>
      <c r="H11" s="114"/>
      <c r="I11" s="115"/>
      <c r="J11" s="129">
        <f t="shared" si="2"/>
        <v>524848.4168786495</v>
      </c>
    </row>
    <row r="12" spans="1:10" x14ac:dyDescent="0.2">
      <c r="A12" s="109" t="s">
        <v>76</v>
      </c>
      <c r="B12" s="110">
        <f t="shared" si="3"/>
        <v>38718</v>
      </c>
      <c r="C12" s="110">
        <v>38807</v>
      </c>
      <c r="D12" s="111">
        <f t="shared" si="0"/>
        <v>90</v>
      </c>
      <c r="E12" s="112">
        <v>6.78</v>
      </c>
      <c r="F12" s="131">
        <f>J11</f>
        <v>524848.4168786495</v>
      </c>
      <c r="G12" s="114">
        <f t="shared" si="1"/>
        <v>8774.3151775164897</v>
      </c>
      <c r="H12" s="114"/>
      <c r="I12" s="115"/>
      <c r="J12" s="129">
        <f t="shared" si="2"/>
        <v>533622.73205616605</v>
      </c>
    </row>
    <row r="13" spans="1:10" x14ac:dyDescent="0.2">
      <c r="A13" s="109" t="s">
        <v>77</v>
      </c>
      <c r="B13" s="110">
        <f t="shared" si="3"/>
        <v>38808</v>
      </c>
      <c r="C13" s="110">
        <v>38898</v>
      </c>
      <c r="D13" s="111">
        <f t="shared" si="0"/>
        <v>91</v>
      </c>
      <c r="E13" s="112">
        <v>7.3</v>
      </c>
      <c r="F13" s="131">
        <f>J12</f>
        <v>533622.73205616605</v>
      </c>
      <c r="G13" s="114">
        <f t="shared" si="1"/>
        <v>9711.9337234222221</v>
      </c>
      <c r="H13" s="114"/>
      <c r="I13" s="115"/>
      <c r="J13" s="129">
        <f t="shared" si="2"/>
        <v>543334.66577958828</v>
      </c>
    </row>
    <row r="14" spans="1:10" x14ac:dyDescent="0.2">
      <c r="A14" s="109" t="s">
        <v>78</v>
      </c>
      <c r="B14" s="110">
        <f t="shared" si="3"/>
        <v>38899</v>
      </c>
      <c r="C14" s="110">
        <v>38990</v>
      </c>
      <c r="D14" s="111">
        <f t="shared" si="0"/>
        <v>92</v>
      </c>
      <c r="E14" s="111">
        <v>7.74</v>
      </c>
      <c r="F14" s="131">
        <f>J13</f>
        <v>543334.66577958828</v>
      </c>
      <c r="G14" s="114">
        <f t="shared" si="1"/>
        <v>10599.938323515871</v>
      </c>
      <c r="H14" s="114"/>
      <c r="I14" s="115"/>
      <c r="J14" s="129">
        <f t="shared" si="2"/>
        <v>553934.60410310409</v>
      </c>
    </row>
    <row r="15" spans="1:10" x14ac:dyDescent="0.2">
      <c r="A15" s="109" t="s">
        <v>79</v>
      </c>
      <c r="B15" s="110">
        <f>C14+1</f>
        <v>38991</v>
      </c>
      <c r="C15" s="110">
        <v>39082</v>
      </c>
      <c r="D15" s="111">
        <f>+C15-B15+1</f>
        <v>92</v>
      </c>
      <c r="E15" s="111">
        <v>8.17</v>
      </c>
      <c r="F15" s="131">
        <f>J14</f>
        <v>553934.60410310409</v>
      </c>
      <c r="G15" s="114">
        <f t="shared" si="1"/>
        <v>11407.107008987869</v>
      </c>
      <c r="H15" s="114">
        <f>F$10/20</f>
        <v>25800</v>
      </c>
      <c r="I15" s="115">
        <f>G$16/20</f>
        <v>2467.0855556045981</v>
      </c>
      <c r="J15" s="129">
        <f t="shared" si="2"/>
        <v>565341.71111209202</v>
      </c>
    </row>
    <row r="16" spans="1:10" x14ac:dyDescent="0.2">
      <c r="A16" s="109"/>
      <c r="B16" s="110"/>
      <c r="C16" s="110"/>
      <c r="D16" s="111"/>
      <c r="E16" s="385" t="s">
        <v>132</v>
      </c>
      <c r="F16" s="385"/>
      <c r="G16" s="202">
        <f>SUM(G10:G15)</f>
        <v>49341.711112091958</v>
      </c>
      <c r="H16" s="114"/>
      <c r="I16" s="115"/>
      <c r="J16" s="148"/>
    </row>
    <row r="17" spans="1:10" x14ac:dyDescent="0.2">
      <c r="A17" s="109" t="s">
        <v>80</v>
      </c>
      <c r="B17" s="110">
        <f>C15+1</f>
        <v>39083</v>
      </c>
      <c r="C17" s="110">
        <v>39172</v>
      </c>
      <c r="D17" s="111">
        <f t="shared" si="0"/>
        <v>90</v>
      </c>
      <c r="E17" s="111">
        <v>8.25</v>
      </c>
      <c r="F17" s="131">
        <f>F$10+G$16-SUM(H$14:H16)-SUM(I$14:I16)</f>
        <v>537074.62555648747</v>
      </c>
      <c r="G17" s="114">
        <f>+D17/365*E17/100*F17</f>
        <v>10925.422177416218</v>
      </c>
      <c r="H17" s="114">
        <f>F$10/20</f>
        <v>25800</v>
      </c>
      <c r="I17" s="116">
        <f>G$16/20</f>
        <v>2467.0855556045981</v>
      </c>
      <c r="J17" s="137"/>
    </row>
    <row r="18" spans="1:10" x14ac:dyDescent="0.2">
      <c r="A18" s="109" t="s">
        <v>81</v>
      </c>
      <c r="B18" s="110">
        <f t="shared" si="3"/>
        <v>39173</v>
      </c>
      <c r="C18" s="110">
        <v>39263</v>
      </c>
      <c r="D18" s="111">
        <f t="shared" si="0"/>
        <v>91</v>
      </c>
      <c r="E18" s="111">
        <v>8.25</v>
      </c>
      <c r="F18" s="131">
        <f>F$10+G$16-SUM(H$14:H17)-SUM(I$14:I17)</f>
        <v>508807.54000088281</v>
      </c>
      <c r="G18" s="114">
        <f>+D18/365*E18/100*F18</f>
        <v>10465.404401525009</v>
      </c>
      <c r="H18" s="114">
        <f>F$10/20</f>
        <v>25800</v>
      </c>
      <c r="I18" s="116">
        <f>G$16/20</f>
        <v>2467.0855556045981</v>
      </c>
      <c r="J18" s="137"/>
    </row>
    <row r="19" spans="1:10" x14ac:dyDescent="0.2">
      <c r="A19" s="109" t="s">
        <v>82</v>
      </c>
      <c r="B19" s="110">
        <f t="shared" si="3"/>
        <v>39264</v>
      </c>
      <c r="C19" s="110">
        <v>39355</v>
      </c>
      <c r="D19" s="111">
        <f t="shared" si="0"/>
        <v>92</v>
      </c>
      <c r="E19" s="111">
        <v>8.25</v>
      </c>
      <c r="F19" s="131">
        <f>F$10+G$16-SUM(H$14:H18)-SUM(I$14:I18)</f>
        <v>480540.45444527821</v>
      </c>
      <c r="G19" s="114">
        <f>+D19/365*E19/100*F19</f>
        <v>9992.6083540812651</v>
      </c>
      <c r="H19" s="114">
        <f>F$10/20</f>
        <v>25800</v>
      </c>
      <c r="I19" s="116">
        <f>G$16/20</f>
        <v>2467.0855556045981</v>
      </c>
      <c r="J19" s="137"/>
    </row>
    <row r="20" spans="1:10" x14ac:dyDescent="0.2">
      <c r="A20" s="123" t="s">
        <v>83</v>
      </c>
      <c r="B20" s="110">
        <f t="shared" si="3"/>
        <v>39356</v>
      </c>
      <c r="C20" s="110">
        <v>39447</v>
      </c>
      <c r="D20" s="111">
        <f t="shared" si="0"/>
        <v>92</v>
      </c>
      <c r="E20" s="111">
        <v>8.25</v>
      </c>
      <c r="F20" s="131">
        <f>F$10+G$16-SUM(H$14:H19)-SUM(I$14:I19)</f>
        <v>452273.36888967361</v>
      </c>
      <c r="G20" s="114">
        <f>+D20/365*E20/100*F20</f>
        <v>9404.8078626647202</v>
      </c>
      <c r="H20" s="114">
        <f>F$10/20</f>
        <v>25800</v>
      </c>
      <c r="I20" s="116">
        <f>G$16/20</f>
        <v>2467.0855556045981</v>
      </c>
      <c r="J20" s="137"/>
    </row>
    <row r="21" spans="1:10" x14ac:dyDescent="0.2">
      <c r="A21" s="123" t="s">
        <v>105</v>
      </c>
      <c r="B21" s="110">
        <f t="shared" si="3"/>
        <v>39448</v>
      </c>
      <c r="C21" s="110">
        <v>39538</v>
      </c>
      <c r="D21" s="111">
        <f t="shared" ref="D21:D36" si="4">+C21-B21+1</f>
        <v>91</v>
      </c>
      <c r="E21" s="111">
        <v>7.76</v>
      </c>
      <c r="F21" s="131">
        <f>F$10+G$16-SUM(H$14:H20)-SUM(I$14:I20)</f>
        <v>424006.28333406901</v>
      </c>
      <c r="G21" s="114">
        <f>+D21/366*E21/100*F21</f>
        <v>8180.7725966990765</v>
      </c>
      <c r="H21" s="114">
        <f t="shared" ref="H21:H35" si="5">F$10/20</f>
        <v>25800</v>
      </c>
      <c r="I21" s="115">
        <f t="shared" ref="I21:I35" si="6">G$16/20</f>
        <v>2467.0855556045981</v>
      </c>
      <c r="J21" s="35"/>
    </row>
    <row r="22" spans="1:10" x14ac:dyDescent="0.2">
      <c r="A22" s="123" t="s">
        <v>106</v>
      </c>
      <c r="B22" s="110">
        <f t="shared" si="3"/>
        <v>39539</v>
      </c>
      <c r="C22" s="110">
        <v>39629</v>
      </c>
      <c r="D22" s="111">
        <f t="shared" si="4"/>
        <v>91</v>
      </c>
      <c r="E22" s="111">
        <v>6.77</v>
      </c>
      <c r="F22" s="131">
        <f>F$10+G$16-SUM(H$14:H21)-SUM(I$14:I21)</f>
        <v>395739.19777846441</v>
      </c>
      <c r="G22" s="114">
        <f>+D22/366*E22/100*F22</f>
        <v>6661.285452879195</v>
      </c>
      <c r="H22" s="114">
        <f t="shared" si="5"/>
        <v>25800</v>
      </c>
      <c r="I22" s="115">
        <f t="shared" si="6"/>
        <v>2467.0855556045981</v>
      </c>
      <c r="J22" s="35"/>
    </row>
    <row r="23" spans="1:10" x14ac:dyDescent="0.2">
      <c r="A23" s="123" t="s">
        <v>107</v>
      </c>
      <c r="B23" s="110">
        <f t="shared" si="3"/>
        <v>39630</v>
      </c>
      <c r="C23" s="110">
        <v>39721</v>
      </c>
      <c r="D23" s="111">
        <f t="shared" si="4"/>
        <v>92</v>
      </c>
      <c r="E23" s="111">
        <v>5.3</v>
      </c>
      <c r="F23" s="131">
        <f>F$10+G$16-SUM(H$14:H22)-SUM(I$14:I22)</f>
        <v>367472.11222285981</v>
      </c>
      <c r="G23" s="114">
        <f>+D23/366*E23/100*F23</f>
        <v>4895.6120743132906</v>
      </c>
      <c r="H23" s="114">
        <f t="shared" si="5"/>
        <v>25800</v>
      </c>
      <c r="I23" s="115">
        <f t="shared" si="6"/>
        <v>2467.0855556045981</v>
      </c>
      <c r="J23" s="35"/>
    </row>
    <row r="24" spans="1:10" x14ac:dyDescent="0.2">
      <c r="A24" s="123" t="s">
        <v>100</v>
      </c>
      <c r="B24" s="110">
        <f t="shared" si="3"/>
        <v>39722</v>
      </c>
      <c r="C24" s="110">
        <v>39813</v>
      </c>
      <c r="D24" s="111">
        <f t="shared" si="4"/>
        <v>92</v>
      </c>
      <c r="E24" s="111">
        <v>5</v>
      </c>
      <c r="F24" s="131">
        <f>F$10+G$16-SUM(H$14:H23)-SUM(I$14:I23)</f>
        <v>339205.02666725521</v>
      </c>
      <c r="G24" s="114">
        <f>+D24/366*E24/100*F24</f>
        <v>4263.2325755993825</v>
      </c>
      <c r="H24" s="114">
        <f t="shared" si="5"/>
        <v>25800</v>
      </c>
      <c r="I24" s="115">
        <f t="shared" si="6"/>
        <v>2467.0855556045981</v>
      </c>
      <c r="J24" s="35"/>
    </row>
    <row r="25" spans="1:10" x14ac:dyDescent="0.2">
      <c r="A25" s="123" t="s">
        <v>108</v>
      </c>
      <c r="B25" s="110">
        <f t="shared" si="3"/>
        <v>39814</v>
      </c>
      <c r="C25" s="110">
        <v>39903</v>
      </c>
      <c r="D25" s="111">
        <f t="shared" si="4"/>
        <v>90</v>
      </c>
      <c r="E25" s="111">
        <v>4.5199999999999996</v>
      </c>
      <c r="F25" s="131">
        <f>F$10+G$16-SUM(H$14:H24)-SUM(I$14:I24)</f>
        <v>310937.94111165067</v>
      </c>
      <c r="G25" s="114">
        <f t="shared" ref="G25:G35" si="7">+D25/365*E25/100*F25</f>
        <v>3465.4672450471094</v>
      </c>
      <c r="H25" s="114">
        <f t="shared" si="5"/>
        <v>25800</v>
      </c>
      <c r="I25" s="115">
        <f t="shared" si="6"/>
        <v>2467.0855556045981</v>
      </c>
      <c r="J25" s="35"/>
    </row>
    <row r="26" spans="1:10" x14ac:dyDescent="0.2">
      <c r="A26" s="123" t="s">
        <v>109</v>
      </c>
      <c r="B26" s="110">
        <f t="shared" si="3"/>
        <v>39904</v>
      </c>
      <c r="C26" s="110">
        <v>39994</v>
      </c>
      <c r="D26" s="111">
        <f t="shared" si="4"/>
        <v>91</v>
      </c>
      <c r="E26" s="111">
        <v>3.37</v>
      </c>
      <c r="F26" s="131">
        <f>F$10+G$16-SUM(H$14:H25)-SUM(I$14:I25)</f>
        <v>282670.85555604607</v>
      </c>
      <c r="G26" s="114">
        <f t="shared" si="7"/>
        <v>2374.9772951608943</v>
      </c>
      <c r="H26" s="114">
        <f t="shared" si="5"/>
        <v>25800</v>
      </c>
      <c r="I26" s="115">
        <f t="shared" si="6"/>
        <v>2467.0855556045981</v>
      </c>
      <c r="J26" s="35"/>
    </row>
    <row r="27" spans="1:10" x14ac:dyDescent="0.2">
      <c r="A27" s="123" t="s">
        <v>111</v>
      </c>
      <c r="B27" s="110">
        <f t="shared" si="3"/>
        <v>39995</v>
      </c>
      <c r="C27" s="110">
        <v>40086</v>
      </c>
      <c r="D27" s="111">
        <f t="shared" si="4"/>
        <v>92</v>
      </c>
      <c r="E27" s="111">
        <v>3.25</v>
      </c>
      <c r="F27" s="131">
        <f>F$10+G$16-SUM(H$14:H26)-SUM(I$14:I26)</f>
        <v>254403.77000044144</v>
      </c>
      <c r="G27" s="114">
        <f t="shared" si="7"/>
        <v>2084.0199241132054</v>
      </c>
      <c r="H27" s="114">
        <f t="shared" si="5"/>
        <v>25800</v>
      </c>
      <c r="I27" s="115">
        <f t="shared" si="6"/>
        <v>2467.0855556045981</v>
      </c>
      <c r="J27" s="35"/>
    </row>
    <row r="28" spans="1:10" x14ac:dyDescent="0.2">
      <c r="A28" s="123" t="s">
        <v>101</v>
      </c>
      <c r="B28" s="110">
        <f t="shared" si="3"/>
        <v>40087</v>
      </c>
      <c r="C28" s="110">
        <v>40178</v>
      </c>
      <c r="D28" s="111">
        <f t="shared" si="4"/>
        <v>92</v>
      </c>
      <c r="E28" s="111">
        <f t="shared" ref="E28:E36" si="8">E27</f>
        <v>3.25</v>
      </c>
      <c r="F28" s="131">
        <f>F$10+G$16-SUM(H$14:H27)-SUM(I$14:I27)</f>
        <v>226136.68444483684</v>
      </c>
      <c r="G28" s="114">
        <f t="shared" si="7"/>
        <v>1852.4621547672937</v>
      </c>
      <c r="H28" s="114">
        <f t="shared" si="5"/>
        <v>25800</v>
      </c>
      <c r="I28" s="115">
        <f t="shared" si="6"/>
        <v>2467.0855556045981</v>
      </c>
      <c r="J28" s="35"/>
    </row>
    <row r="29" spans="1:10" x14ac:dyDescent="0.2">
      <c r="A29" s="123" t="s">
        <v>112</v>
      </c>
      <c r="B29" s="110">
        <f t="shared" si="3"/>
        <v>40179</v>
      </c>
      <c r="C29" s="110">
        <v>40268</v>
      </c>
      <c r="D29" s="111">
        <f t="shared" si="4"/>
        <v>90</v>
      </c>
      <c r="E29" s="111">
        <f t="shared" si="8"/>
        <v>3.25</v>
      </c>
      <c r="F29" s="131">
        <f>F$10+G$16-SUM(H$14:H28)-SUM(I$14:I28)</f>
        <v>197869.59888923226</v>
      </c>
      <c r="G29" s="114">
        <f t="shared" si="7"/>
        <v>1585.6673335643954</v>
      </c>
      <c r="H29" s="114">
        <f t="shared" si="5"/>
        <v>25800</v>
      </c>
      <c r="I29" s="115">
        <f t="shared" si="6"/>
        <v>2467.0855556045981</v>
      </c>
      <c r="J29" s="35"/>
    </row>
    <row r="30" spans="1:10" x14ac:dyDescent="0.2">
      <c r="A30" s="123" t="s">
        <v>113</v>
      </c>
      <c r="B30" s="110">
        <f t="shared" si="3"/>
        <v>40269</v>
      </c>
      <c r="C30" s="110">
        <v>40359</v>
      </c>
      <c r="D30" s="111">
        <f t="shared" si="4"/>
        <v>91</v>
      </c>
      <c r="E30" s="111">
        <f t="shared" si="8"/>
        <v>3.25</v>
      </c>
      <c r="F30" s="131">
        <f>F$10+G$16-SUM(H$14:H29)-SUM(I$14:I29)</f>
        <v>169602.51333362766</v>
      </c>
      <c r="G30" s="114">
        <f t="shared" si="7"/>
        <v>1374.2450224224763</v>
      </c>
      <c r="H30" s="114">
        <f t="shared" si="5"/>
        <v>25800</v>
      </c>
      <c r="I30" s="115">
        <f t="shared" si="6"/>
        <v>2467.0855556045981</v>
      </c>
      <c r="J30" s="35"/>
    </row>
    <row r="31" spans="1:10" x14ac:dyDescent="0.2">
      <c r="A31" s="123" t="s">
        <v>114</v>
      </c>
      <c r="B31" s="110">
        <f t="shared" si="3"/>
        <v>40360</v>
      </c>
      <c r="C31" s="110">
        <v>40451</v>
      </c>
      <c r="D31" s="111">
        <f t="shared" si="4"/>
        <v>92</v>
      </c>
      <c r="E31" s="111">
        <f t="shared" si="8"/>
        <v>3.25</v>
      </c>
      <c r="F31" s="131">
        <f>F$10+G$16-SUM(H$14:H30)-SUM(I$14:I30)</f>
        <v>141335.42777802306</v>
      </c>
      <c r="G31" s="114">
        <f t="shared" si="7"/>
        <v>1157.7888467295588</v>
      </c>
      <c r="H31" s="114">
        <f t="shared" si="5"/>
        <v>25800</v>
      </c>
      <c r="I31" s="115">
        <f t="shared" si="6"/>
        <v>2467.0855556045981</v>
      </c>
      <c r="J31" s="35"/>
    </row>
    <row r="32" spans="1:10" x14ac:dyDescent="0.2">
      <c r="A32" s="374" t="s">
        <v>102</v>
      </c>
      <c r="B32" s="375">
        <f t="shared" si="3"/>
        <v>40452</v>
      </c>
      <c r="C32" s="375">
        <v>40543</v>
      </c>
      <c r="D32" s="376">
        <f t="shared" si="4"/>
        <v>92</v>
      </c>
      <c r="E32" s="111">
        <f t="shared" si="8"/>
        <v>3.25</v>
      </c>
      <c r="F32" s="377">
        <f>F$10+G$16-SUM(H$14:H31)-SUM(I$14:I31)</f>
        <v>113068.34222241845</v>
      </c>
      <c r="G32" s="378">
        <f t="shared" si="7"/>
        <v>926.23107738364706</v>
      </c>
      <c r="H32" s="114">
        <f t="shared" si="5"/>
        <v>25800</v>
      </c>
      <c r="I32" s="115">
        <f t="shared" si="6"/>
        <v>2467.0855556045981</v>
      </c>
      <c r="J32" s="35"/>
    </row>
    <row r="33" spans="1:10" x14ac:dyDescent="0.2">
      <c r="A33" s="33" t="s">
        <v>115</v>
      </c>
      <c r="B33" s="34">
        <f>C32+1</f>
        <v>40544</v>
      </c>
      <c r="C33" s="34">
        <v>40633</v>
      </c>
      <c r="D33" s="33">
        <f t="shared" si="4"/>
        <v>90</v>
      </c>
      <c r="E33" s="111">
        <f t="shared" si="8"/>
        <v>3.25</v>
      </c>
      <c r="F33" s="101">
        <f>F$10+G$16-SUM(H$14:H32)-SUM(I$14:I32)</f>
        <v>84801.256666813846</v>
      </c>
      <c r="G33" s="74">
        <f t="shared" si="7"/>
        <v>679.57171438474109</v>
      </c>
      <c r="H33" s="243">
        <f t="shared" si="5"/>
        <v>25800</v>
      </c>
      <c r="I33" s="115">
        <f t="shared" si="6"/>
        <v>2467.0855556045981</v>
      </c>
      <c r="J33" s="35"/>
    </row>
    <row r="34" spans="1:10" x14ac:dyDescent="0.2">
      <c r="A34" s="33" t="s">
        <v>116</v>
      </c>
      <c r="B34" s="34">
        <f>C33+1</f>
        <v>40634</v>
      </c>
      <c r="C34" s="34">
        <v>40724</v>
      </c>
      <c r="D34" s="33">
        <f t="shared" si="4"/>
        <v>91</v>
      </c>
      <c r="E34" s="111">
        <f t="shared" si="8"/>
        <v>3.25</v>
      </c>
      <c r="F34" s="101">
        <f>F$10+G$16-SUM(H$14:H33)-SUM(I$14:I33)</f>
        <v>56534.171111209245</v>
      </c>
      <c r="G34" s="74">
        <f t="shared" si="7"/>
        <v>458.08167414082561</v>
      </c>
      <c r="H34" s="243">
        <f t="shared" si="5"/>
        <v>25800</v>
      </c>
      <c r="I34" s="115">
        <f t="shared" si="6"/>
        <v>2467.0855556045981</v>
      </c>
      <c r="J34" s="35"/>
    </row>
    <row r="35" spans="1:10" x14ac:dyDescent="0.2">
      <c r="A35" s="33" t="s">
        <v>117</v>
      </c>
      <c r="B35" s="34">
        <f>C34+1</f>
        <v>40725</v>
      </c>
      <c r="C35" s="34">
        <v>40816</v>
      </c>
      <c r="D35" s="33">
        <f t="shared" si="4"/>
        <v>92</v>
      </c>
      <c r="E35" s="111">
        <f t="shared" si="8"/>
        <v>3.25</v>
      </c>
      <c r="F35" s="101">
        <f>F$10+G$16-SUM(H$14:H34)-SUM(I$14:I34)</f>
        <v>28267.085555604644</v>
      </c>
      <c r="G35" s="74">
        <f t="shared" si="7"/>
        <v>231.55776934591205</v>
      </c>
      <c r="H35" s="243">
        <f t="shared" si="5"/>
        <v>25800</v>
      </c>
      <c r="I35" s="115">
        <f t="shared" si="6"/>
        <v>2467.0855556045981</v>
      </c>
      <c r="J35" s="35"/>
    </row>
    <row r="36" spans="1:10" x14ac:dyDescent="0.2">
      <c r="A36" s="33" t="s">
        <v>103</v>
      </c>
      <c r="B36" s="34">
        <f>C35+1</f>
        <v>40817</v>
      </c>
      <c r="C36" s="34">
        <v>40908</v>
      </c>
      <c r="D36" s="33">
        <f t="shared" si="4"/>
        <v>92</v>
      </c>
      <c r="E36" s="111">
        <f t="shared" si="8"/>
        <v>3.25</v>
      </c>
      <c r="F36" s="101"/>
      <c r="G36" s="74"/>
      <c r="H36" s="243"/>
      <c r="I36" s="115"/>
      <c r="J36" s="35"/>
    </row>
    <row r="37" spans="1:10" x14ac:dyDescent="0.2">
      <c r="A37" s="33"/>
      <c r="B37" s="34"/>
      <c r="C37" s="34"/>
      <c r="D37" s="33"/>
      <c r="E37" s="33"/>
      <c r="F37" s="101"/>
      <c r="G37" s="74"/>
      <c r="H37" s="74"/>
      <c r="I37" s="74"/>
      <c r="J37" s="35"/>
    </row>
    <row r="39" spans="1:10" x14ac:dyDescent="0.2">
      <c r="A39" s="387" t="s">
        <v>125</v>
      </c>
      <c r="B39" s="388"/>
      <c r="C39" s="388"/>
      <c r="D39" s="388"/>
      <c r="E39" s="388"/>
      <c r="F39" s="388"/>
      <c r="G39" s="388"/>
      <c r="H39" s="388"/>
      <c r="I39" s="388"/>
      <c r="J39" s="389"/>
    </row>
    <row r="40" spans="1:10" x14ac:dyDescent="0.2">
      <c r="A40" s="30" t="s">
        <v>10</v>
      </c>
      <c r="B40" s="30" t="s">
        <v>11</v>
      </c>
      <c r="C40" s="30" t="s">
        <v>12</v>
      </c>
      <c r="D40" s="30" t="s">
        <v>13</v>
      </c>
      <c r="E40" s="30" t="s">
        <v>14</v>
      </c>
      <c r="F40" s="30" t="s">
        <v>15</v>
      </c>
      <c r="G40" s="30" t="s">
        <v>16</v>
      </c>
      <c r="H40" s="30"/>
      <c r="I40" s="30"/>
      <c r="J40" s="30" t="s">
        <v>17</v>
      </c>
    </row>
    <row r="41" spans="1:10" ht="51" x14ac:dyDescent="0.2">
      <c r="A41" s="31" t="s">
        <v>18</v>
      </c>
      <c r="B41" s="31" t="s">
        <v>19</v>
      </c>
      <c r="C41" s="31" t="s">
        <v>20</v>
      </c>
      <c r="D41" s="31" t="s">
        <v>21</v>
      </c>
      <c r="E41" s="31" t="s">
        <v>22</v>
      </c>
      <c r="F41" s="31" t="s">
        <v>23</v>
      </c>
      <c r="G41" s="6" t="s">
        <v>130</v>
      </c>
      <c r="H41" s="6" t="s">
        <v>37</v>
      </c>
      <c r="I41" s="6" t="s">
        <v>131</v>
      </c>
      <c r="J41" s="31" t="s">
        <v>25</v>
      </c>
    </row>
    <row r="42" spans="1:10" x14ac:dyDescent="0.2">
      <c r="A42" s="102" t="s">
        <v>27</v>
      </c>
      <c r="B42" s="103">
        <f>C3</f>
        <v>37790</v>
      </c>
      <c r="C42" s="103">
        <v>37802</v>
      </c>
      <c r="D42" s="104">
        <f t="shared" ref="D42:D51" si="9">+C42-B42+1</f>
        <v>13</v>
      </c>
      <c r="E42" s="105">
        <v>4.25</v>
      </c>
      <c r="F42" s="106">
        <f>F3</f>
        <v>22000</v>
      </c>
      <c r="G42" s="107">
        <f>+D42/365*E42/100*F42</f>
        <v>33.301369863013697</v>
      </c>
      <c r="H42" s="107"/>
      <c r="I42" s="108"/>
      <c r="J42" s="142">
        <f>+F42+G42</f>
        <v>22033.301369863013</v>
      </c>
    </row>
    <row r="43" spans="1:10" x14ac:dyDescent="0.2">
      <c r="A43" s="109" t="s">
        <v>28</v>
      </c>
      <c r="B43" s="110">
        <v>37803</v>
      </c>
      <c r="C43" s="110">
        <v>37894</v>
      </c>
      <c r="D43" s="111">
        <f t="shared" si="9"/>
        <v>92</v>
      </c>
      <c r="E43" s="112">
        <v>4.25</v>
      </c>
      <c r="F43" s="113">
        <f t="shared" ref="F43:F50" si="10">+J42</f>
        <v>22033.301369863013</v>
      </c>
      <c r="G43" s="114">
        <f>+D43/365*E43/100*F43</f>
        <v>236.02796809908051</v>
      </c>
      <c r="H43" s="114"/>
      <c r="I43" s="115"/>
      <c r="J43" s="129">
        <f t="shared" ref="J43:J55" si="11">+F43+G43</f>
        <v>22269.329337962092</v>
      </c>
    </row>
    <row r="44" spans="1:10" x14ac:dyDescent="0.2">
      <c r="A44" s="109" t="s">
        <v>29</v>
      </c>
      <c r="B44" s="110">
        <v>37895</v>
      </c>
      <c r="C44" s="110">
        <v>37986</v>
      </c>
      <c r="D44" s="111">
        <f t="shared" si="9"/>
        <v>92</v>
      </c>
      <c r="E44" s="112">
        <v>4.07</v>
      </c>
      <c r="F44" s="113">
        <f t="shared" si="10"/>
        <v>22269.329337962092</v>
      </c>
      <c r="G44" s="114">
        <f>+D44/365*E44/100*F44</f>
        <v>228.45281307689112</v>
      </c>
      <c r="H44" s="114"/>
      <c r="I44" s="115"/>
      <c r="J44" s="129">
        <f t="shared" si="11"/>
        <v>22497.782151038984</v>
      </c>
    </row>
    <row r="45" spans="1:10" x14ac:dyDescent="0.2">
      <c r="A45" s="109" t="s">
        <v>30</v>
      </c>
      <c r="B45" s="110">
        <v>37987</v>
      </c>
      <c r="C45" s="110">
        <v>38077</v>
      </c>
      <c r="D45" s="111">
        <f t="shared" si="9"/>
        <v>91</v>
      </c>
      <c r="E45" s="112">
        <v>4</v>
      </c>
      <c r="F45" s="113">
        <f t="shared" si="10"/>
        <v>22497.782151038984</v>
      </c>
      <c r="G45" s="114">
        <f>+D45/366*E45/100*F45</f>
        <v>223.74843450760085</v>
      </c>
      <c r="H45" s="114"/>
      <c r="I45" s="115"/>
      <c r="J45" s="129">
        <f t="shared" si="11"/>
        <v>22721.530585546585</v>
      </c>
    </row>
    <row r="46" spans="1:10" x14ac:dyDescent="0.2">
      <c r="A46" s="109" t="s">
        <v>44</v>
      </c>
      <c r="B46" s="110">
        <v>38078</v>
      </c>
      <c r="C46" s="110">
        <v>38168</v>
      </c>
      <c r="D46" s="111">
        <f t="shared" si="9"/>
        <v>91</v>
      </c>
      <c r="E46" s="112">
        <v>4</v>
      </c>
      <c r="F46" s="113">
        <f t="shared" si="10"/>
        <v>22721.530585546585</v>
      </c>
      <c r="G46" s="114">
        <f>+D46/366*E46/100*F46</f>
        <v>225.97369216226659</v>
      </c>
      <c r="H46" s="114"/>
      <c r="I46" s="115"/>
      <c r="J46" s="129">
        <f t="shared" si="11"/>
        <v>22947.504277708853</v>
      </c>
    </row>
    <row r="47" spans="1:10" x14ac:dyDescent="0.2">
      <c r="A47" s="109" t="s">
        <v>41</v>
      </c>
      <c r="B47" s="110">
        <v>38169</v>
      </c>
      <c r="C47" s="110">
        <v>38260</v>
      </c>
      <c r="D47" s="111">
        <f t="shared" si="9"/>
        <v>92</v>
      </c>
      <c r="E47" s="112">
        <v>4</v>
      </c>
      <c r="F47" s="113">
        <f t="shared" si="10"/>
        <v>22947.504277708853</v>
      </c>
      <c r="G47" s="114">
        <f>+D47/366*E47/100*F47</f>
        <v>230.72900475947699</v>
      </c>
      <c r="H47" s="114"/>
      <c r="I47" s="115"/>
      <c r="J47" s="129">
        <f t="shared" si="11"/>
        <v>23178.233282468329</v>
      </c>
    </row>
    <row r="48" spans="1:10" x14ac:dyDescent="0.2">
      <c r="A48" s="109" t="s">
        <v>45</v>
      </c>
      <c r="B48" s="110">
        <v>38261</v>
      </c>
      <c r="C48" s="110">
        <v>38352</v>
      </c>
      <c r="D48" s="111">
        <f t="shared" si="9"/>
        <v>92</v>
      </c>
      <c r="E48" s="112">
        <v>4.22</v>
      </c>
      <c r="F48" s="113">
        <f t="shared" si="10"/>
        <v>23178.233282468329</v>
      </c>
      <c r="G48" s="114">
        <f>+D48/366*E48/100*F48</f>
        <v>245.8665926116258</v>
      </c>
      <c r="H48" s="114"/>
      <c r="I48" s="115"/>
      <c r="J48" s="129">
        <f t="shared" si="11"/>
        <v>23424.099875079955</v>
      </c>
    </row>
    <row r="49" spans="1:10" x14ac:dyDescent="0.2">
      <c r="A49" s="109" t="s">
        <v>43</v>
      </c>
      <c r="B49" s="110">
        <v>38353</v>
      </c>
      <c r="C49" s="110">
        <v>38442</v>
      </c>
      <c r="D49" s="111">
        <f t="shared" si="9"/>
        <v>90</v>
      </c>
      <c r="E49" s="112">
        <v>4.75</v>
      </c>
      <c r="F49" s="113">
        <f t="shared" si="10"/>
        <v>23424.099875079955</v>
      </c>
      <c r="G49" s="114">
        <f t="shared" ref="G49:G56" si="12">+D49/365*E49/100*F49</f>
        <v>274.350758810868</v>
      </c>
      <c r="H49" s="114"/>
      <c r="I49" s="115"/>
      <c r="J49" s="129">
        <f t="shared" si="11"/>
        <v>23698.450633890825</v>
      </c>
    </row>
    <row r="50" spans="1:10" x14ac:dyDescent="0.2">
      <c r="A50" s="109" t="s">
        <v>40</v>
      </c>
      <c r="B50" s="110">
        <v>38443</v>
      </c>
      <c r="C50" s="110">
        <v>38533</v>
      </c>
      <c r="D50" s="111">
        <f t="shared" si="9"/>
        <v>91</v>
      </c>
      <c r="E50" s="112">
        <v>5.3</v>
      </c>
      <c r="F50" s="113">
        <f t="shared" si="10"/>
        <v>23698.450633890825</v>
      </c>
      <c r="G50" s="114">
        <f t="shared" si="12"/>
        <v>313.14418467741217</v>
      </c>
      <c r="H50" s="114"/>
      <c r="I50" s="115"/>
      <c r="J50" s="129">
        <f t="shared" si="11"/>
        <v>24011.594818568235</v>
      </c>
    </row>
    <row r="51" spans="1:10" x14ac:dyDescent="0.2">
      <c r="A51" s="109" t="s">
        <v>42</v>
      </c>
      <c r="B51" s="110">
        <v>38534</v>
      </c>
      <c r="C51" s="110">
        <v>38625</v>
      </c>
      <c r="D51" s="111">
        <f t="shared" si="9"/>
        <v>92</v>
      </c>
      <c r="E51" s="112">
        <v>5.77</v>
      </c>
      <c r="F51" s="113">
        <f t="shared" ref="F51:F56" si="13">+J50</f>
        <v>24011.594818568235</v>
      </c>
      <c r="G51" s="114">
        <f t="shared" si="12"/>
        <v>349.21410941065102</v>
      </c>
      <c r="H51" s="119"/>
      <c r="I51" s="141"/>
      <c r="J51" s="129">
        <f t="shared" si="11"/>
        <v>24360.808927978887</v>
      </c>
    </row>
    <row r="52" spans="1:10" x14ac:dyDescent="0.2">
      <c r="A52" s="123" t="s">
        <v>36</v>
      </c>
      <c r="B52" s="110">
        <v>38626</v>
      </c>
      <c r="C52" s="110">
        <v>38717</v>
      </c>
      <c r="D52" s="111">
        <f>+C52-B52+1</f>
        <v>92</v>
      </c>
      <c r="E52" s="122">
        <v>6.23</v>
      </c>
      <c r="F52" s="113">
        <f t="shared" si="13"/>
        <v>24360.808927978887</v>
      </c>
      <c r="G52" s="114">
        <f t="shared" si="12"/>
        <v>382.53811630576382</v>
      </c>
      <c r="H52" s="114"/>
      <c r="I52" s="115"/>
      <c r="J52" s="129">
        <f t="shared" si="11"/>
        <v>24743.347044284652</v>
      </c>
    </row>
    <row r="53" spans="1:10" x14ac:dyDescent="0.2">
      <c r="A53" s="109" t="s">
        <v>76</v>
      </c>
      <c r="B53" s="110">
        <f>C52+1</f>
        <v>38718</v>
      </c>
      <c r="C53" s="110">
        <v>38807</v>
      </c>
      <c r="D53" s="111">
        <f>+C53-B53+1</f>
        <v>90</v>
      </c>
      <c r="E53" s="112">
        <v>6.78</v>
      </c>
      <c r="F53" s="113">
        <f t="shared" si="13"/>
        <v>24743.347044284652</v>
      </c>
      <c r="G53" s="114">
        <f t="shared" si="12"/>
        <v>413.65453058691759</v>
      </c>
      <c r="H53" s="114"/>
      <c r="I53" s="115"/>
      <c r="J53" s="129">
        <f t="shared" si="11"/>
        <v>25157.00157487157</v>
      </c>
    </row>
    <row r="54" spans="1:10" x14ac:dyDescent="0.2">
      <c r="A54" s="109" t="s">
        <v>77</v>
      </c>
      <c r="B54" s="110">
        <f>C53+1</f>
        <v>38808</v>
      </c>
      <c r="C54" s="110">
        <v>38898</v>
      </c>
      <c r="D54" s="111">
        <f>+C54-B54+1</f>
        <v>91</v>
      </c>
      <c r="E54" s="112">
        <v>7.3</v>
      </c>
      <c r="F54" s="113">
        <f t="shared" si="13"/>
        <v>25157.00157487157</v>
      </c>
      <c r="G54" s="114">
        <f t="shared" si="12"/>
        <v>457.85742866266258</v>
      </c>
      <c r="H54" s="114"/>
      <c r="I54" s="115"/>
      <c r="J54" s="129">
        <f t="shared" si="11"/>
        <v>25614.859003534231</v>
      </c>
    </row>
    <row r="55" spans="1:10" x14ac:dyDescent="0.2">
      <c r="A55" s="109" t="s">
        <v>78</v>
      </c>
      <c r="B55" s="110">
        <f>C54+1</f>
        <v>38899</v>
      </c>
      <c r="C55" s="110">
        <v>38990</v>
      </c>
      <c r="D55" s="111">
        <f>+C55-B55+1</f>
        <v>92</v>
      </c>
      <c r="E55" s="111">
        <v>7.74</v>
      </c>
      <c r="F55" s="113">
        <f t="shared" si="13"/>
        <v>25614.859003534231</v>
      </c>
      <c r="G55" s="114">
        <f t="shared" si="12"/>
        <v>499.72133696538793</v>
      </c>
      <c r="H55" s="114"/>
      <c r="I55" s="115"/>
      <c r="J55" s="129">
        <f t="shared" si="11"/>
        <v>26114.580340499619</v>
      </c>
    </row>
    <row r="56" spans="1:10" x14ac:dyDescent="0.2">
      <c r="A56" s="109" t="s">
        <v>79</v>
      </c>
      <c r="B56" s="110">
        <f>C55+1</f>
        <v>38991</v>
      </c>
      <c r="C56" s="110">
        <v>39082</v>
      </c>
      <c r="D56" s="111">
        <f>+C56-B56+1</f>
        <v>92</v>
      </c>
      <c r="E56" s="111">
        <v>8.17</v>
      </c>
      <c r="F56" s="113">
        <f t="shared" si="13"/>
        <v>26114.580340499619</v>
      </c>
      <c r="G56" s="114">
        <f t="shared" si="12"/>
        <v>537.77433334611328</v>
      </c>
      <c r="H56" s="114">
        <f>F$42/20</f>
        <v>1100</v>
      </c>
      <c r="I56" s="115">
        <f>G$57/20*5</f>
        <v>1163.0886684614329</v>
      </c>
      <c r="J56" s="129">
        <f>+F56+G56-H56-I56</f>
        <v>24389.266005384299</v>
      </c>
    </row>
    <row r="57" spans="1:10" x14ac:dyDescent="0.2">
      <c r="A57" s="117"/>
      <c r="B57" s="118"/>
      <c r="C57" s="118"/>
      <c r="D57" s="130"/>
      <c r="E57" s="385" t="s">
        <v>132</v>
      </c>
      <c r="F57" s="385"/>
      <c r="G57" s="120">
        <f>SUM(G42:G56)</f>
        <v>4652.3546738457317</v>
      </c>
      <c r="H57" s="120"/>
      <c r="I57" s="121"/>
      <c r="J57" s="135"/>
    </row>
    <row r="58" spans="1:10" x14ac:dyDescent="0.2">
      <c r="A58" s="109" t="s">
        <v>80</v>
      </c>
      <c r="B58" s="110">
        <f>C56+1</f>
        <v>39083</v>
      </c>
      <c r="C58" s="110">
        <v>39172</v>
      </c>
      <c r="D58" s="111">
        <f>+C58-B58+1</f>
        <v>90</v>
      </c>
      <c r="E58" s="111">
        <v>8.25</v>
      </c>
      <c r="F58" s="131">
        <f>F$42+G$57-SUM(H$52:H57)-SUM(I$52:I57)</f>
        <v>24389.266005384296</v>
      </c>
      <c r="G58" s="114">
        <f t="shared" ref="G58:G76" si="14">+D58/365*E58/100*F58</f>
        <v>496.13780846569421</v>
      </c>
      <c r="H58" s="114">
        <f>F$42/20</f>
        <v>1100</v>
      </c>
      <c r="I58" s="116">
        <f>G$57/20</f>
        <v>232.61773369228658</v>
      </c>
      <c r="J58" s="134"/>
    </row>
    <row r="59" spans="1:10" x14ac:dyDescent="0.2">
      <c r="A59" s="109" t="s">
        <v>81</v>
      </c>
      <c r="B59" s="110">
        <f t="shared" ref="B59:B72" si="15">C58+1</f>
        <v>39173</v>
      </c>
      <c r="C59" s="110">
        <v>39263</v>
      </c>
      <c r="D59" s="111">
        <f>+C59-B59+1</f>
        <v>91</v>
      </c>
      <c r="E59" s="111">
        <v>8.25</v>
      </c>
      <c r="F59" s="131">
        <f>F$42+G$57-SUM(H$52:H58)-SUM(I$52:I58)</f>
        <v>23056.648271692011</v>
      </c>
      <c r="G59" s="114">
        <f t="shared" si="14"/>
        <v>474.24051205404874</v>
      </c>
      <c r="H59" s="114">
        <f>F$42/20</f>
        <v>1100</v>
      </c>
      <c r="I59" s="116">
        <f>G$57/20</f>
        <v>232.61773369228658</v>
      </c>
      <c r="J59" s="134"/>
    </row>
    <row r="60" spans="1:10" x14ac:dyDescent="0.2">
      <c r="A60" s="109" t="s">
        <v>82</v>
      </c>
      <c r="B60" s="110">
        <f t="shared" si="15"/>
        <v>39264</v>
      </c>
      <c r="C60" s="110">
        <v>39355</v>
      </c>
      <c r="D60" s="111">
        <f>+C60-B60+1</f>
        <v>92</v>
      </c>
      <c r="E60" s="111">
        <v>8.25</v>
      </c>
      <c r="F60" s="131">
        <f>F$42+G$57-SUM(H$52:H59)-SUM(I$52:I59)</f>
        <v>21724.030537999723</v>
      </c>
      <c r="G60" s="114">
        <f t="shared" si="14"/>
        <v>451.74079940662438</v>
      </c>
      <c r="H60" s="114">
        <f>F$42/20</f>
        <v>1100</v>
      </c>
      <c r="I60" s="116">
        <f>G$57/20</f>
        <v>232.61773369228658</v>
      </c>
      <c r="J60" s="134"/>
    </row>
    <row r="61" spans="1:10" x14ac:dyDescent="0.2">
      <c r="A61" s="123" t="s">
        <v>83</v>
      </c>
      <c r="B61" s="110">
        <f t="shared" si="15"/>
        <v>39356</v>
      </c>
      <c r="C61" s="110">
        <v>39447</v>
      </c>
      <c r="D61" s="111">
        <f>+C61-B61+1</f>
        <v>92</v>
      </c>
      <c r="E61" s="111">
        <v>8.25</v>
      </c>
      <c r="F61" s="131">
        <f>F$42+G$57-SUM(H$52:H60)-SUM(I$52:I60)</f>
        <v>20391.412804307438</v>
      </c>
      <c r="G61" s="114">
        <f t="shared" si="14"/>
        <v>424.02965256080404</v>
      </c>
      <c r="H61" s="114">
        <f>F$42/20</f>
        <v>1100</v>
      </c>
      <c r="I61" s="116">
        <f>G$57/20</f>
        <v>232.61773369228658</v>
      </c>
      <c r="J61" s="134"/>
    </row>
    <row r="62" spans="1:10" x14ac:dyDescent="0.2">
      <c r="A62" s="123" t="s">
        <v>105</v>
      </c>
      <c r="B62" s="110">
        <f t="shared" si="15"/>
        <v>39448</v>
      </c>
      <c r="C62" s="110">
        <v>39538</v>
      </c>
      <c r="D62" s="111">
        <f t="shared" ref="D62:D72" si="16">+C62-B62+1</f>
        <v>91</v>
      </c>
      <c r="E62" s="111">
        <v>7.76</v>
      </c>
      <c r="F62" s="131">
        <f>F$42+G$57-SUM(H$52:H61)-SUM(I$52:I61)</f>
        <v>19058.79507061515</v>
      </c>
      <c r="G62" s="114">
        <f>+D62/366*E62/100*F62</f>
        <v>367.72018379960645</v>
      </c>
      <c r="H62" s="114">
        <f t="shared" ref="H62:H71" si="17">F$42/20</f>
        <v>1100</v>
      </c>
      <c r="I62" s="115">
        <f t="shared" ref="I62:I71" si="18">G$57/20</f>
        <v>232.61773369228658</v>
      </c>
    </row>
    <row r="63" spans="1:10" x14ac:dyDescent="0.2">
      <c r="A63" s="123" t="s">
        <v>106</v>
      </c>
      <c r="B63" s="110">
        <f t="shared" si="15"/>
        <v>39539</v>
      </c>
      <c r="C63" s="110">
        <v>39629</v>
      </c>
      <c r="D63" s="111">
        <f t="shared" si="16"/>
        <v>91</v>
      </c>
      <c r="E63" s="111">
        <v>6.77</v>
      </c>
      <c r="F63" s="131">
        <f>F$42+G$57-SUM(H$52:H62)-SUM(I$52:I62)</f>
        <v>17726.177336922865</v>
      </c>
      <c r="G63" s="114">
        <f>+D63/366*E63/100*F63</f>
        <v>298.37612218464665</v>
      </c>
      <c r="H63" s="114">
        <f t="shared" si="17"/>
        <v>1100</v>
      </c>
      <c r="I63" s="115">
        <f t="shared" si="18"/>
        <v>232.61773369228658</v>
      </c>
    </row>
    <row r="64" spans="1:10" x14ac:dyDescent="0.2">
      <c r="A64" s="123" t="s">
        <v>107</v>
      </c>
      <c r="B64" s="110">
        <f t="shared" si="15"/>
        <v>39630</v>
      </c>
      <c r="C64" s="110">
        <v>39721</v>
      </c>
      <c r="D64" s="111">
        <f t="shared" si="16"/>
        <v>92</v>
      </c>
      <c r="E64" s="111">
        <v>5.3</v>
      </c>
      <c r="F64" s="131">
        <f>F$42+G$57-SUM(H$52:H63)-SUM(I$52:I63)</f>
        <v>16393.559603230577</v>
      </c>
      <c r="G64" s="114">
        <f>+D64/366*E64/100*F64</f>
        <v>218.40163012391338</v>
      </c>
      <c r="H64" s="114">
        <f t="shared" si="17"/>
        <v>1100</v>
      </c>
      <c r="I64" s="115">
        <f t="shared" si="18"/>
        <v>232.61773369228658</v>
      </c>
    </row>
    <row r="65" spans="1:9" x14ac:dyDescent="0.2">
      <c r="A65" s="123" t="s">
        <v>100</v>
      </c>
      <c r="B65" s="110">
        <f t="shared" si="15"/>
        <v>39722</v>
      </c>
      <c r="C65" s="110">
        <v>39813</v>
      </c>
      <c r="D65" s="111">
        <f t="shared" si="16"/>
        <v>92</v>
      </c>
      <c r="E65" s="111">
        <v>5</v>
      </c>
      <c r="F65" s="131">
        <f>F$42+G$57-SUM(H$52:H64)-SUM(I$52:I64)</f>
        <v>15060.941869538292</v>
      </c>
      <c r="G65" s="114">
        <f>+D65/366*E65/100*F65</f>
        <v>189.29052622916979</v>
      </c>
      <c r="H65" s="114">
        <f t="shared" si="17"/>
        <v>1100</v>
      </c>
      <c r="I65" s="115">
        <f t="shared" si="18"/>
        <v>232.61773369228658</v>
      </c>
    </row>
    <row r="66" spans="1:9" x14ac:dyDescent="0.2">
      <c r="A66" s="123" t="s">
        <v>108</v>
      </c>
      <c r="B66" s="110">
        <f t="shared" si="15"/>
        <v>39814</v>
      </c>
      <c r="C66" s="110">
        <v>39903</v>
      </c>
      <c r="D66" s="111">
        <f t="shared" si="16"/>
        <v>90</v>
      </c>
      <c r="E66" s="111">
        <v>4.5199999999999996</v>
      </c>
      <c r="F66" s="131">
        <f>F$42+G$57-SUM(H$52:H65)-SUM(I$52:I65)</f>
        <v>13728.324135846005</v>
      </c>
      <c r="G66" s="114">
        <f t="shared" si="14"/>
        <v>153.00499338252479</v>
      </c>
      <c r="H66" s="114">
        <f t="shared" si="17"/>
        <v>1100</v>
      </c>
      <c r="I66" s="115">
        <f t="shared" si="18"/>
        <v>232.61773369228658</v>
      </c>
    </row>
    <row r="67" spans="1:9" x14ac:dyDescent="0.2">
      <c r="A67" s="123" t="s">
        <v>109</v>
      </c>
      <c r="B67" s="110">
        <f t="shared" si="15"/>
        <v>39904</v>
      </c>
      <c r="C67" s="110">
        <v>39994</v>
      </c>
      <c r="D67" s="111">
        <f t="shared" si="16"/>
        <v>91</v>
      </c>
      <c r="E67" s="111">
        <v>3.37</v>
      </c>
      <c r="F67" s="131">
        <f>F$42+G$57-SUM(H$52:H66)-SUM(I$52:I66)</f>
        <v>12395.706402153719</v>
      </c>
      <c r="G67" s="114">
        <f t="shared" si="14"/>
        <v>104.1477063657118</v>
      </c>
      <c r="H67" s="114">
        <f t="shared" si="17"/>
        <v>1100</v>
      </c>
      <c r="I67" s="115">
        <f t="shared" si="18"/>
        <v>232.61773369228658</v>
      </c>
    </row>
    <row r="68" spans="1:9" x14ac:dyDescent="0.2">
      <c r="A68" s="123" t="s">
        <v>111</v>
      </c>
      <c r="B68" s="110">
        <f t="shared" si="15"/>
        <v>39995</v>
      </c>
      <c r="C68" s="110">
        <v>40086</v>
      </c>
      <c r="D68" s="111">
        <f t="shared" si="16"/>
        <v>92</v>
      </c>
      <c r="E68" s="111">
        <v>3.25</v>
      </c>
      <c r="F68" s="131">
        <f>F$42+G$57-SUM(H$52:H67)-SUM(I$52:I67)</f>
        <v>11063.088668461432</v>
      </c>
      <c r="G68" s="114">
        <f t="shared" si="14"/>
        <v>90.6263975854786</v>
      </c>
      <c r="H68" s="114">
        <f t="shared" si="17"/>
        <v>1100</v>
      </c>
      <c r="I68" s="115">
        <f t="shared" si="18"/>
        <v>232.61773369228658</v>
      </c>
    </row>
    <row r="69" spans="1:9" x14ac:dyDescent="0.2">
      <c r="A69" s="123" t="s">
        <v>101</v>
      </c>
      <c r="B69" s="110">
        <f t="shared" si="15"/>
        <v>40087</v>
      </c>
      <c r="C69" s="110">
        <v>40178</v>
      </c>
      <c r="D69" s="111">
        <f t="shared" si="16"/>
        <v>92</v>
      </c>
      <c r="E69" s="111">
        <f t="shared" ref="E69:E77" si="19">E68</f>
        <v>3.25</v>
      </c>
      <c r="F69" s="131">
        <f>F$42+G$57-SUM(H$52:H68)-SUM(I$52:I68)</f>
        <v>9730.470934769146</v>
      </c>
      <c r="G69" s="114">
        <f t="shared" si="14"/>
        <v>79.709885191670551</v>
      </c>
      <c r="H69" s="114">
        <f t="shared" si="17"/>
        <v>1100</v>
      </c>
      <c r="I69" s="115">
        <f t="shared" si="18"/>
        <v>232.61773369228658</v>
      </c>
    </row>
    <row r="70" spans="1:9" x14ac:dyDescent="0.2">
      <c r="A70" s="123" t="s">
        <v>112</v>
      </c>
      <c r="B70" s="110">
        <f t="shared" si="15"/>
        <v>40179</v>
      </c>
      <c r="C70" s="110">
        <v>40268</v>
      </c>
      <c r="D70" s="111">
        <f t="shared" si="16"/>
        <v>90</v>
      </c>
      <c r="E70" s="111">
        <f t="shared" si="19"/>
        <v>3.25</v>
      </c>
      <c r="F70" s="131">
        <f>F$42+G$57-SUM(H$52:H69)-SUM(I$52:I69)</f>
        <v>8397.8532010768595</v>
      </c>
      <c r="G70" s="114">
        <f t="shared" si="14"/>
        <v>67.297864693561124</v>
      </c>
      <c r="H70" s="114">
        <f t="shared" si="17"/>
        <v>1100</v>
      </c>
      <c r="I70" s="115">
        <f t="shared" si="18"/>
        <v>232.61773369228658</v>
      </c>
    </row>
    <row r="71" spans="1:9" x14ac:dyDescent="0.2">
      <c r="A71" s="123" t="s">
        <v>113</v>
      </c>
      <c r="B71" s="110">
        <f t="shared" si="15"/>
        <v>40269</v>
      </c>
      <c r="C71" s="110">
        <v>40359</v>
      </c>
      <c r="D71" s="111">
        <f t="shared" si="16"/>
        <v>91</v>
      </c>
      <c r="E71" s="111">
        <f t="shared" si="19"/>
        <v>3.25</v>
      </c>
      <c r="F71" s="131">
        <f>F$42+G$57-SUM(H$52:H70)-SUM(I$52:I70)</f>
        <v>7065.2354673845721</v>
      </c>
      <c r="G71" s="114">
        <f t="shared" si="14"/>
        <v>57.247764095314722</v>
      </c>
      <c r="H71" s="114">
        <f t="shared" si="17"/>
        <v>1100</v>
      </c>
      <c r="I71" s="115">
        <f t="shared" si="18"/>
        <v>232.61773369228658</v>
      </c>
    </row>
    <row r="72" spans="1:9" x14ac:dyDescent="0.2">
      <c r="A72" s="374" t="s">
        <v>114</v>
      </c>
      <c r="B72" s="375">
        <f t="shared" si="15"/>
        <v>40360</v>
      </c>
      <c r="C72" s="375">
        <v>40451</v>
      </c>
      <c r="D72" s="376">
        <f t="shared" si="16"/>
        <v>92</v>
      </c>
      <c r="E72" s="111">
        <f t="shared" si="19"/>
        <v>3.25</v>
      </c>
      <c r="F72" s="377">
        <f>F$42+G$57-SUM(H$52:H71)-SUM(I$52:I71)</f>
        <v>5732.6177336922856</v>
      </c>
      <c r="G72" s="378">
        <f t="shared" si="14"/>
        <v>46.960348010246399</v>
      </c>
      <c r="H72" s="378">
        <f>F$42/20</f>
        <v>1100</v>
      </c>
      <c r="I72" s="379">
        <f>G$57/20</f>
        <v>232.61773369228658</v>
      </c>
    </row>
    <row r="73" spans="1:9" x14ac:dyDescent="0.2">
      <c r="A73" s="33" t="s">
        <v>102</v>
      </c>
      <c r="B73" s="34">
        <f>C72+1</f>
        <v>40452</v>
      </c>
      <c r="C73" s="34">
        <v>40543</v>
      </c>
      <c r="D73" s="33">
        <f>+C73-B73+1</f>
        <v>92</v>
      </c>
      <c r="E73" s="111">
        <f t="shared" si="19"/>
        <v>3.25</v>
      </c>
      <c r="F73" s="101">
        <f>F$42+G$57-SUM(H$52:H72)-SUM(I$52:I72)</f>
        <v>4399.9999999999991</v>
      </c>
      <c r="G73" s="74">
        <f t="shared" si="14"/>
        <v>36.043835616438351</v>
      </c>
      <c r="H73" s="74">
        <f>F$42/20</f>
        <v>1100</v>
      </c>
      <c r="I73" s="74">
        <f>G$57/20</f>
        <v>232.61773369228658</v>
      </c>
    </row>
    <row r="74" spans="1:9" x14ac:dyDescent="0.2">
      <c r="A74" s="33" t="s">
        <v>115</v>
      </c>
      <c r="B74" s="34">
        <f>C73+1</f>
        <v>40544</v>
      </c>
      <c r="C74" s="34">
        <v>40633</v>
      </c>
      <c r="D74" s="33">
        <f>+C74-B74+1</f>
        <v>90</v>
      </c>
      <c r="E74" s="111">
        <f t="shared" si="19"/>
        <v>3.25</v>
      </c>
      <c r="F74" s="101">
        <f>F$42+G$57-SUM(H$52:H73)-SUM(I$52:I73)</f>
        <v>3067.3822663077126</v>
      </c>
      <c r="G74" s="74">
        <f t="shared" si="14"/>
        <v>24.581077065616601</v>
      </c>
      <c r="H74" s="74">
        <f>F$42/20</f>
        <v>1100</v>
      </c>
      <c r="I74" s="74">
        <f>G$57/20</f>
        <v>232.61773369228658</v>
      </c>
    </row>
    <row r="75" spans="1:9" x14ac:dyDescent="0.2">
      <c r="A75" s="33" t="s">
        <v>116</v>
      </c>
      <c r="B75" s="34">
        <f>C74+1</f>
        <v>40634</v>
      </c>
      <c r="C75" s="34">
        <v>40724</v>
      </c>
      <c r="D75" s="33">
        <f>+C75-B75+1</f>
        <v>91</v>
      </c>
      <c r="E75" s="111">
        <f t="shared" si="19"/>
        <v>3.25</v>
      </c>
      <c r="F75" s="101">
        <f>F$42+G$57-SUM(H$52:H74)-SUM(I$52:I74)</f>
        <v>1734.7645326154261</v>
      </c>
      <c r="G75" s="74">
        <f t="shared" si="14"/>
        <v>14.056345493726363</v>
      </c>
      <c r="H75" s="74">
        <f>F$42/20</f>
        <v>1100</v>
      </c>
      <c r="I75" s="74">
        <f>G$57/20</f>
        <v>232.61773369228658</v>
      </c>
    </row>
    <row r="76" spans="1:9" x14ac:dyDescent="0.2">
      <c r="A76" s="33" t="s">
        <v>117</v>
      </c>
      <c r="B76" s="34">
        <f>C75+1</f>
        <v>40725</v>
      </c>
      <c r="C76" s="34">
        <v>40816</v>
      </c>
      <c r="D76" s="33">
        <f>+C76-B76+1</f>
        <v>92</v>
      </c>
      <c r="E76" s="111">
        <f t="shared" si="19"/>
        <v>3.25</v>
      </c>
      <c r="F76" s="101">
        <f>F$42+G$57-SUM(H$52:H75)-SUM(I$52:I75)</f>
        <v>402.14679892313961</v>
      </c>
      <c r="G76" s="74">
        <f t="shared" si="14"/>
        <v>3.2942984350142126</v>
      </c>
      <c r="H76" s="74">
        <f>F$42/20</f>
        <v>1100</v>
      </c>
      <c r="I76" s="74">
        <f>G$57/20</f>
        <v>232.61773369228658</v>
      </c>
    </row>
    <row r="77" spans="1:9" x14ac:dyDescent="0.2">
      <c r="A77" s="33" t="s">
        <v>103</v>
      </c>
      <c r="B77" s="34">
        <f>C76+1</f>
        <v>40817</v>
      </c>
      <c r="C77" s="34">
        <v>40908</v>
      </c>
      <c r="D77" s="33">
        <f>+C77-B77+1</f>
        <v>92</v>
      </c>
      <c r="E77" s="111">
        <f t="shared" si="19"/>
        <v>3.25</v>
      </c>
      <c r="F77" s="35"/>
      <c r="G77" s="35"/>
      <c r="H77" s="35"/>
      <c r="I77" s="35"/>
    </row>
  </sheetData>
  <customSheetViews>
    <customSheetView guid="{6086CA2F-D319-4FB4-8773-987A9787386E}" scale="75" showRuler="0">
      <selection sqref="A1:IV65536"/>
      <rowBreaks count="1" manualBreakCount="1">
        <brk id="33" max="16383" man="1"/>
      </rowBreaks>
      <pageMargins left="0.75" right="0.75" top="1" bottom="1" header="0.5" footer="0.5"/>
      <pageSetup scale="76" orientation="landscape" r:id="rId1"/>
      <headerFooter alignWithMargins="0">
        <oddFooter>&amp;L&amp;D&amp;R&amp;A</oddFooter>
      </headerFooter>
    </customSheetView>
  </customSheetViews>
  <mergeCells count="5">
    <mergeCell ref="E57:F57"/>
    <mergeCell ref="A5:B5"/>
    <mergeCell ref="A7:J7"/>
    <mergeCell ref="E16:F16"/>
    <mergeCell ref="A39:J39"/>
  </mergeCells>
  <phoneticPr fontId="2" type="noConversion"/>
  <pageMargins left="0.5" right="0.5" top="1" bottom="0.89" header="0.5" footer="0.5"/>
  <pageSetup scale="61" orientation="landscape" r:id="rId2"/>
  <headerFooter alignWithMargins="0">
    <oddHeader>&amp;C&amp;A&amp;RAttachment 4
WP-Schedule 22 
&amp;P of &amp;N</oddHeader>
  </headerFooter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>
    <tabColor theme="0" tint="-4.9989318521683403E-2"/>
  </sheetPr>
  <dimension ref="A2:L157"/>
  <sheetViews>
    <sheetView view="pageLayout" topLeftCell="A133" zoomScaleNormal="85" workbookViewId="0">
      <selection activeCell="F47" sqref="F47"/>
    </sheetView>
  </sheetViews>
  <sheetFormatPr defaultRowHeight="12.75" x14ac:dyDescent="0.2"/>
  <cols>
    <col min="1" max="1" width="16.140625" style="23" bestFit="1" customWidth="1"/>
    <col min="2" max="2" width="14.5703125" style="23" customWidth="1"/>
    <col min="3" max="3" width="16.140625" style="22" customWidth="1"/>
    <col min="4" max="4" width="13.42578125" style="22" customWidth="1"/>
    <col min="5" max="5" width="15.7109375" style="22" customWidth="1"/>
    <col min="6" max="6" width="16.140625" style="22" customWidth="1"/>
    <col min="7" max="7" width="16.28515625" style="22" customWidth="1"/>
    <col min="8" max="8" width="13.42578125" style="22" customWidth="1"/>
    <col min="9" max="9" width="12.28515625" style="22" customWidth="1"/>
    <col min="10" max="10" width="19.85546875" style="22" bestFit="1" customWidth="1"/>
    <col min="11" max="11" width="9.140625" style="22"/>
    <col min="12" max="12" width="13.140625" style="22" bestFit="1" customWidth="1"/>
    <col min="13" max="16384" width="9.140625" style="22"/>
  </cols>
  <sheetData>
    <row r="2" spans="1:6" ht="25.5" x14ac:dyDescent="0.2">
      <c r="A2" s="20" t="s">
        <v>84</v>
      </c>
      <c r="B2" s="20" t="s">
        <v>85</v>
      </c>
      <c r="C2" s="21" t="s">
        <v>7</v>
      </c>
      <c r="D2" s="21" t="s">
        <v>1</v>
      </c>
      <c r="E2" s="21" t="s">
        <v>86</v>
      </c>
      <c r="F2" s="21" t="s">
        <v>87</v>
      </c>
    </row>
    <row r="3" spans="1:6" x14ac:dyDescent="0.2">
      <c r="A3" s="23">
        <v>1</v>
      </c>
      <c r="B3" s="24">
        <v>36945</v>
      </c>
      <c r="C3" s="43">
        <v>50579.65</v>
      </c>
      <c r="D3" s="43">
        <v>0</v>
      </c>
      <c r="E3" s="43">
        <v>0</v>
      </c>
      <c r="F3" s="43">
        <f>SUM(C3:E3)</f>
        <v>50579.65</v>
      </c>
    </row>
    <row r="4" spans="1:6" x14ac:dyDescent="0.2">
      <c r="A4" s="23">
        <v>2</v>
      </c>
      <c r="B4" s="24">
        <v>36945</v>
      </c>
      <c r="C4" s="43">
        <v>63224.56</v>
      </c>
      <c r="D4" s="43">
        <v>0</v>
      </c>
      <c r="E4" s="43">
        <v>0</v>
      </c>
      <c r="F4" s="43">
        <f t="shared" ref="F4:F28" si="0">SUM(C4:E4)</f>
        <v>63224.56</v>
      </c>
    </row>
    <row r="5" spans="1:6" x14ac:dyDescent="0.2">
      <c r="A5" s="23">
        <v>3</v>
      </c>
      <c r="B5" s="24">
        <v>37001</v>
      </c>
      <c r="C5" s="43">
        <v>450158.9</v>
      </c>
      <c r="D5" s="43">
        <v>0</v>
      </c>
      <c r="E5" s="43">
        <v>0</v>
      </c>
      <c r="F5" s="43">
        <f t="shared" si="0"/>
        <v>450158.9</v>
      </c>
    </row>
    <row r="6" spans="1:6" x14ac:dyDescent="0.2">
      <c r="A6" s="23">
        <v>4</v>
      </c>
      <c r="B6" s="24">
        <v>37026</v>
      </c>
      <c r="C6" s="43">
        <v>730385.42</v>
      </c>
      <c r="D6" s="43">
        <v>0</v>
      </c>
      <c r="E6" s="43">
        <v>482879.15</v>
      </c>
      <c r="F6" s="43">
        <f t="shared" si="0"/>
        <v>1213264.57</v>
      </c>
    </row>
    <row r="7" spans="1:6" x14ac:dyDescent="0.2">
      <c r="A7" s="23">
        <v>5</v>
      </c>
      <c r="B7" s="24">
        <v>37082</v>
      </c>
      <c r="C7" s="43">
        <v>332687.65999999997</v>
      </c>
      <c r="D7" s="43">
        <v>0</v>
      </c>
      <c r="E7" s="43">
        <v>0</v>
      </c>
      <c r="F7" s="43">
        <f t="shared" si="0"/>
        <v>332687.65999999997</v>
      </c>
    </row>
    <row r="8" spans="1:6" x14ac:dyDescent="0.2">
      <c r="A8" s="23">
        <v>6</v>
      </c>
      <c r="B8" s="24">
        <v>37090</v>
      </c>
      <c r="C8" s="43">
        <v>723289.01</v>
      </c>
      <c r="D8" s="43">
        <v>0</v>
      </c>
      <c r="E8" s="43">
        <v>0</v>
      </c>
      <c r="F8" s="43">
        <f t="shared" si="0"/>
        <v>723289.01</v>
      </c>
    </row>
    <row r="9" spans="1:6" x14ac:dyDescent="0.2">
      <c r="A9" s="23">
        <v>7</v>
      </c>
      <c r="B9" s="24">
        <v>37119</v>
      </c>
      <c r="C9" s="43">
        <v>689147.75</v>
      </c>
      <c r="D9" s="43">
        <v>0</v>
      </c>
      <c r="E9" s="43">
        <v>0</v>
      </c>
      <c r="F9" s="43">
        <f t="shared" si="0"/>
        <v>689147.75</v>
      </c>
    </row>
    <row r="10" spans="1:6" x14ac:dyDescent="0.2">
      <c r="A10" s="23">
        <v>8</v>
      </c>
      <c r="B10" s="24">
        <v>37148</v>
      </c>
      <c r="C10" s="43">
        <v>708747.37</v>
      </c>
      <c r="D10" s="43">
        <v>0</v>
      </c>
      <c r="E10" s="43">
        <v>0</v>
      </c>
      <c r="F10" s="43">
        <f t="shared" si="0"/>
        <v>708747.37</v>
      </c>
    </row>
    <row r="11" spans="1:6" x14ac:dyDescent="0.2">
      <c r="A11" s="23" t="s">
        <v>5</v>
      </c>
      <c r="B11" s="24">
        <v>37179</v>
      </c>
      <c r="C11" s="43">
        <v>1841099.31</v>
      </c>
      <c r="D11" s="43">
        <v>0</v>
      </c>
      <c r="E11" s="43">
        <v>0</v>
      </c>
      <c r="F11" s="43">
        <f t="shared" si="0"/>
        <v>1841099.31</v>
      </c>
    </row>
    <row r="12" spans="1:6" x14ac:dyDescent="0.2">
      <c r="A12" s="23">
        <v>10</v>
      </c>
      <c r="B12" s="24">
        <v>37215</v>
      </c>
      <c r="C12" s="43">
        <v>720127.79</v>
      </c>
      <c r="D12" s="43">
        <v>0</v>
      </c>
      <c r="E12" s="43">
        <v>0</v>
      </c>
      <c r="F12" s="43">
        <f t="shared" si="0"/>
        <v>720127.79</v>
      </c>
    </row>
    <row r="13" spans="1:6" x14ac:dyDescent="0.2">
      <c r="A13" s="23">
        <v>11</v>
      </c>
      <c r="B13" s="24">
        <v>37243</v>
      </c>
      <c r="C13" s="43">
        <v>856060.6</v>
      </c>
      <c r="D13" s="43">
        <v>0</v>
      </c>
      <c r="E13" s="43">
        <v>0</v>
      </c>
      <c r="F13" s="43">
        <f t="shared" si="0"/>
        <v>856060.6</v>
      </c>
    </row>
    <row r="14" spans="1:6" x14ac:dyDescent="0.2">
      <c r="A14" s="23">
        <v>12</v>
      </c>
      <c r="B14" s="24">
        <v>37273</v>
      </c>
      <c r="C14" s="43">
        <v>936988.04</v>
      </c>
      <c r="D14" s="43">
        <v>0</v>
      </c>
      <c r="E14" s="43">
        <v>0</v>
      </c>
      <c r="F14" s="43">
        <f t="shared" si="0"/>
        <v>936988.04</v>
      </c>
    </row>
    <row r="15" spans="1:6" x14ac:dyDescent="0.2">
      <c r="A15" s="23">
        <v>13</v>
      </c>
      <c r="B15" s="24">
        <v>37512</v>
      </c>
      <c r="C15" s="43">
        <v>1200768.8899999999</v>
      </c>
      <c r="D15" s="43">
        <v>0</v>
      </c>
      <c r="E15" s="43">
        <v>0</v>
      </c>
      <c r="F15" s="43">
        <f t="shared" si="0"/>
        <v>1200768.8899999999</v>
      </c>
    </row>
    <row r="16" spans="1:6" x14ac:dyDescent="0.2">
      <c r="A16" s="23">
        <v>14</v>
      </c>
      <c r="B16" s="24">
        <v>37596</v>
      </c>
      <c r="C16" s="43">
        <v>242822.15</v>
      </c>
      <c r="D16" s="43">
        <v>0</v>
      </c>
      <c r="E16" s="43">
        <v>0</v>
      </c>
      <c r="F16" s="43">
        <f t="shared" si="0"/>
        <v>242822.15</v>
      </c>
    </row>
    <row r="17" spans="1:6" x14ac:dyDescent="0.2">
      <c r="A17" s="23">
        <v>15</v>
      </c>
      <c r="B17" s="24">
        <v>37610</v>
      </c>
      <c r="C17" s="43">
        <v>186786.27</v>
      </c>
      <c r="D17" s="43">
        <v>0</v>
      </c>
      <c r="E17" s="43">
        <v>0</v>
      </c>
      <c r="F17" s="43">
        <f t="shared" si="0"/>
        <v>186786.27</v>
      </c>
    </row>
    <row r="18" spans="1:6" x14ac:dyDescent="0.2">
      <c r="A18" s="23">
        <v>16</v>
      </c>
      <c r="B18" s="24">
        <v>37638</v>
      </c>
      <c r="C18" s="43">
        <v>189454.65</v>
      </c>
      <c r="D18" s="43">
        <v>0</v>
      </c>
      <c r="E18" s="43">
        <v>0</v>
      </c>
      <c r="F18" s="43">
        <f t="shared" si="0"/>
        <v>189454.65</v>
      </c>
    </row>
    <row r="19" spans="1:6" x14ac:dyDescent="0.2">
      <c r="A19" s="23">
        <v>17</v>
      </c>
      <c r="B19" s="24">
        <v>37666</v>
      </c>
      <c r="C19" s="43">
        <v>1241461.6100000001</v>
      </c>
      <c r="D19" s="43">
        <v>0</v>
      </c>
      <c r="E19" s="43">
        <v>0</v>
      </c>
      <c r="F19" s="43">
        <f t="shared" si="0"/>
        <v>1241461.6100000001</v>
      </c>
    </row>
    <row r="20" spans="1:6" x14ac:dyDescent="0.2">
      <c r="A20" s="23">
        <v>18</v>
      </c>
      <c r="B20" s="24">
        <v>37698</v>
      </c>
      <c r="C20" s="43">
        <v>304861.88</v>
      </c>
      <c r="D20" s="43">
        <v>0</v>
      </c>
      <c r="E20" s="43">
        <v>0</v>
      </c>
      <c r="F20" s="43">
        <f t="shared" si="0"/>
        <v>304861.88</v>
      </c>
    </row>
    <row r="21" spans="1:6" x14ac:dyDescent="0.2">
      <c r="A21" s="23">
        <v>19</v>
      </c>
      <c r="B21" s="24">
        <v>37699</v>
      </c>
      <c r="C21" s="43">
        <v>333546.90999999997</v>
      </c>
      <c r="D21" s="43">
        <v>0</v>
      </c>
      <c r="E21" s="43">
        <v>0</v>
      </c>
      <c r="F21" s="43">
        <f t="shared" si="0"/>
        <v>333546.90999999997</v>
      </c>
    </row>
    <row r="22" spans="1:6" x14ac:dyDescent="0.2">
      <c r="A22" s="23">
        <v>20</v>
      </c>
      <c r="B22" s="24">
        <v>37736</v>
      </c>
      <c r="C22" s="43">
        <v>227440.38</v>
      </c>
      <c r="D22" s="43">
        <v>0</v>
      </c>
      <c r="E22" s="43">
        <v>0</v>
      </c>
      <c r="F22" s="43">
        <f t="shared" si="0"/>
        <v>227440.38</v>
      </c>
    </row>
    <row r="23" spans="1:6" x14ac:dyDescent="0.2">
      <c r="A23" s="23">
        <v>21</v>
      </c>
      <c r="B23" s="24"/>
      <c r="C23" s="43"/>
      <c r="D23" s="43"/>
      <c r="E23" s="43"/>
      <c r="F23" s="43">
        <f t="shared" si="0"/>
        <v>0</v>
      </c>
    </row>
    <row r="24" spans="1:6" x14ac:dyDescent="0.2">
      <c r="A24" s="23">
        <v>22</v>
      </c>
      <c r="B24" s="24"/>
      <c r="C24" s="43"/>
      <c r="D24" s="43"/>
      <c r="E24" s="43"/>
      <c r="F24" s="43">
        <f t="shared" si="0"/>
        <v>0</v>
      </c>
    </row>
    <row r="25" spans="1:6" x14ac:dyDescent="0.2">
      <c r="A25" s="23">
        <v>23</v>
      </c>
      <c r="B25" s="24"/>
      <c r="C25" s="43"/>
      <c r="D25" s="43"/>
      <c r="E25" s="43"/>
      <c r="F25" s="43">
        <f t="shared" si="0"/>
        <v>0</v>
      </c>
    </row>
    <row r="26" spans="1:6" x14ac:dyDescent="0.2">
      <c r="A26" s="23">
        <v>24</v>
      </c>
      <c r="B26" s="24"/>
      <c r="C26" s="43"/>
      <c r="D26" s="43"/>
      <c r="E26" s="43"/>
      <c r="F26" s="43">
        <f t="shared" si="0"/>
        <v>0</v>
      </c>
    </row>
    <row r="27" spans="1:6" x14ac:dyDescent="0.2">
      <c r="A27" s="23">
        <v>25</v>
      </c>
      <c r="B27" s="24"/>
      <c r="C27" s="43"/>
      <c r="D27" s="43"/>
      <c r="E27" s="43"/>
      <c r="F27" s="43">
        <f t="shared" si="0"/>
        <v>0</v>
      </c>
    </row>
    <row r="28" spans="1:6" x14ac:dyDescent="0.2">
      <c r="A28" s="23">
        <v>26</v>
      </c>
      <c r="B28" s="24"/>
      <c r="C28" s="43"/>
      <c r="D28" s="43"/>
      <c r="E28" s="43"/>
      <c r="F28" s="43">
        <f t="shared" si="0"/>
        <v>0</v>
      </c>
    </row>
    <row r="29" spans="1:6" x14ac:dyDescent="0.2">
      <c r="B29" s="25" t="s">
        <v>0</v>
      </c>
      <c r="C29" s="239">
        <f>SUM(C3:C28)</f>
        <v>12029638.800000003</v>
      </c>
      <c r="D29" s="239">
        <f>SUM(D3:D28)</f>
        <v>0</v>
      </c>
      <c r="E29" s="239">
        <f>SUM(E3:E28)</f>
        <v>482879.15</v>
      </c>
      <c r="F29" s="239">
        <f>SUM(F3:F28)</f>
        <v>12512517.950000003</v>
      </c>
    </row>
    <row r="31" spans="1:6" x14ac:dyDescent="0.2">
      <c r="A31" s="386" t="s">
        <v>88</v>
      </c>
      <c r="B31" s="386"/>
      <c r="C31" s="28">
        <v>38696</v>
      </c>
    </row>
    <row r="32" spans="1:6" x14ac:dyDescent="0.2">
      <c r="A32" s="27"/>
      <c r="B32" s="27"/>
      <c r="C32" s="28"/>
    </row>
    <row r="33" spans="1:12" x14ac:dyDescent="0.2">
      <c r="A33" s="387" t="s">
        <v>124</v>
      </c>
      <c r="B33" s="388"/>
      <c r="C33" s="388"/>
      <c r="D33" s="388"/>
      <c r="E33" s="388"/>
      <c r="F33" s="388"/>
      <c r="G33" s="388"/>
      <c r="H33" s="388"/>
      <c r="I33" s="388"/>
      <c r="J33" s="389"/>
    </row>
    <row r="34" spans="1:12" x14ac:dyDescent="0.2">
      <c r="A34" s="30" t="s">
        <v>10</v>
      </c>
      <c r="B34" s="30" t="s">
        <v>11</v>
      </c>
      <c r="C34" s="30" t="s">
        <v>12</v>
      </c>
      <c r="D34" s="30" t="s">
        <v>13</v>
      </c>
      <c r="E34" s="30" t="s">
        <v>14</v>
      </c>
      <c r="F34" s="30" t="s">
        <v>15</v>
      </c>
      <c r="G34" s="30" t="s">
        <v>16</v>
      </c>
      <c r="H34" s="30"/>
      <c r="I34" s="30"/>
      <c r="J34" s="30" t="s">
        <v>17</v>
      </c>
    </row>
    <row r="35" spans="1:12" ht="51" x14ac:dyDescent="0.2">
      <c r="A35" s="31" t="s">
        <v>18</v>
      </c>
      <c r="B35" s="31" t="s">
        <v>19</v>
      </c>
      <c r="C35" s="31" t="s">
        <v>20</v>
      </c>
      <c r="D35" s="31" t="s">
        <v>21</v>
      </c>
      <c r="E35" s="31" t="s">
        <v>22</v>
      </c>
      <c r="F35" s="31" t="s">
        <v>23</v>
      </c>
      <c r="G35" s="6" t="s">
        <v>130</v>
      </c>
      <c r="H35" s="6" t="s">
        <v>37</v>
      </c>
      <c r="I35" s="6" t="s">
        <v>131</v>
      </c>
      <c r="J35" s="31" t="s">
        <v>25</v>
      </c>
    </row>
    <row r="36" spans="1:12" x14ac:dyDescent="0.2">
      <c r="A36" s="156" t="s">
        <v>36</v>
      </c>
      <c r="B36" s="103">
        <f>C31</f>
        <v>38696</v>
      </c>
      <c r="C36" s="103">
        <v>38717</v>
      </c>
      <c r="D36" s="104">
        <f>+C36-B36+1</f>
        <v>22</v>
      </c>
      <c r="E36" s="157">
        <v>6.23</v>
      </c>
      <c r="F36" s="158">
        <f>C29</f>
        <v>12029638.800000003</v>
      </c>
      <c r="G36" s="107">
        <f>+D36/365*E36/100*F36</f>
        <v>45172.117641863028</v>
      </c>
      <c r="H36" s="107"/>
      <c r="I36" s="108"/>
      <c r="J36" s="159">
        <f t="shared" ref="J36:J41" si="1">+F36+G36</f>
        <v>12074810.917641865</v>
      </c>
      <c r="L36" s="54"/>
    </row>
    <row r="37" spans="1:12" x14ac:dyDescent="0.2">
      <c r="A37" s="109" t="s">
        <v>76</v>
      </c>
      <c r="B37" s="110">
        <f>C36+1</f>
        <v>38718</v>
      </c>
      <c r="C37" s="110">
        <v>38807</v>
      </c>
      <c r="D37" s="111">
        <f t="shared" ref="D37:D45" si="2">+C37-B37+1</f>
        <v>90</v>
      </c>
      <c r="E37" s="112">
        <v>6.78</v>
      </c>
      <c r="F37" s="131">
        <f t="shared" ref="F37:F42" si="3">J36</f>
        <v>12074810.917641865</v>
      </c>
      <c r="G37" s="114">
        <f t="shared" ref="G37:G58" si="4">+D37/365*E37/100*F37</f>
        <v>201864.37320397436</v>
      </c>
      <c r="H37" s="114"/>
      <c r="I37" s="115"/>
      <c r="J37" s="143">
        <f t="shared" si="1"/>
        <v>12276675.290845839</v>
      </c>
    </row>
    <row r="38" spans="1:12" x14ac:dyDescent="0.2">
      <c r="A38" s="109" t="s">
        <v>77</v>
      </c>
      <c r="B38" s="110">
        <f t="shared" ref="B38:B58" si="5">C37+1</f>
        <v>38808</v>
      </c>
      <c r="C38" s="110">
        <v>38898</v>
      </c>
      <c r="D38" s="111">
        <f t="shared" si="2"/>
        <v>91</v>
      </c>
      <c r="E38" s="112">
        <v>7.3</v>
      </c>
      <c r="F38" s="131">
        <f t="shared" si="3"/>
        <v>12276675.290845839</v>
      </c>
      <c r="G38" s="114">
        <f t="shared" si="4"/>
        <v>223435.49029339428</v>
      </c>
      <c r="H38" s="114"/>
      <c r="I38" s="115"/>
      <c r="J38" s="143">
        <f t="shared" si="1"/>
        <v>12500110.781139234</v>
      </c>
    </row>
    <row r="39" spans="1:12" x14ac:dyDescent="0.2">
      <c r="A39" s="109" t="s">
        <v>78</v>
      </c>
      <c r="B39" s="110">
        <f t="shared" si="5"/>
        <v>38899</v>
      </c>
      <c r="C39" s="110">
        <v>38990</v>
      </c>
      <c r="D39" s="111">
        <f t="shared" si="2"/>
        <v>92</v>
      </c>
      <c r="E39" s="111">
        <v>7.74</v>
      </c>
      <c r="F39" s="131">
        <f t="shared" si="3"/>
        <v>12500110.781139234</v>
      </c>
      <c r="G39" s="114">
        <f>+D39/365*E39/100*F39</f>
        <v>243865.17493242814</v>
      </c>
      <c r="H39" s="119"/>
      <c r="I39" s="141"/>
      <c r="J39" s="143">
        <f t="shared" si="1"/>
        <v>12743975.956071662</v>
      </c>
    </row>
    <row r="40" spans="1:12" x14ac:dyDescent="0.2">
      <c r="A40" s="109" t="s">
        <v>79</v>
      </c>
      <c r="B40" s="110">
        <f>C39+1</f>
        <v>38991</v>
      </c>
      <c r="C40" s="110">
        <v>39082</v>
      </c>
      <c r="D40" s="111">
        <f>+C40-B40+1</f>
        <v>92</v>
      </c>
      <c r="E40" s="111">
        <v>8.17</v>
      </c>
      <c r="F40" s="131">
        <f t="shared" si="3"/>
        <v>12743975.956071662</v>
      </c>
      <c r="G40" s="114">
        <f>+D40/365*E40/100*F40</f>
        <v>262435.12568826589</v>
      </c>
      <c r="H40" s="114"/>
      <c r="I40" s="115"/>
      <c r="J40" s="143">
        <f t="shared" si="1"/>
        <v>13006411.081759928</v>
      </c>
    </row>
    <row r="41" spans="1:12" x14ac:dyDescent="0.2">
      <c r="A41" s="109" t="s">
        <v>80</v>
      </c>
      <c r="B41" s="110">
        <f>C40+1</f>
        <v>39083</v>
      </c>
      <c r="C41" s="110">
        <v>39172</v>
      </c>
      <c r="D41" s="111">
        <f>+C41-B41+1</f>
        <v>90</v>
      </c>
      <c r="E41" s="111">
        <v>8.25</v>
      </c>
      <c r="F41" s="131">
        <f t="shared" si="3"/>
        <v>13006411.081759928</v>
      </c>
      <c r="G41" s="114">
        <f>+D41/365*E41/100*F41</f>
        <v>264582.47200566425</v>
      </c>
      <c r="H41" s="114"/>
      <c r="I41" s="115"/>
      <c r="J41" s="143">
        <f t="shared" si="1"/>
        <v>13270993.553765591</v>
      </c>
    </row>
    <row r="42" spans="1:12" x14ac:dyDescent="0.2">
      <c r="A42" s="109" t="s">
        <v>81</v>
      </c>
      <c r="B42" s="110">
        <f>C41+1</f>
        <v>39173</v>
      </c>
      <c r="C42" s="110">
        <v>39263</v>
      </c>
      <c r="D42" s="111">
        <f>+C42-B42+1</f>
        <v>91</v>
      </c>
      <c r="E42" s="111">
        <v>8.25</v>
      </c>
      <c r="F42" s="131">
        <f t="shared" si="3"/>
        <v>13270993.553765591</v>
      </c>
      <c r="G42" s="114">
        <f>+D42/365*E42/100*F42</f>
        <v>272964.34001341148</v>
      </c>
      <c r="H42" s="114">
        <f>C29/20</f>
        <v>601481.94000000018</v>
      </c>
      <c r="I42" s="115">
        <f>G43/20</f>
        <v>75715.954688950063</v>
      </c>
      <c r="J42" s="143">
        <f>+F42+G42-H42-I42</f>
        <v>12866759.999090053</v>
      </c>
    </row>
    <row r="43" spans="1:12" x14ac:dyDescent="0.2">
      <c r="A43" s="109"/>
      <c r="B43" s="110"/>
      <c r="C43" s="110"/>
      <c r="D43" s="111"/>
      <c r="E43" s="390" t="s">
        <v>132</v>
      </c>
      <c r="F43" s="391"/>
      <c r="G43" s="120">
        <f>SUM(G36:G42)</f>
        <v>1514319.0937790014</v>
      </c>
      <c r="H43" s="114"/>
      <c r="I43" s="115"/>
      <c r="J43" s="148"/>
    </row>
    <row r="44" spans="1:12" x14ac:dyDescent="0.2">
      <c r="A44" s="109" t="s">
        <v>82</v>
      </c>
      <c r="B44" s="110">
        <v>39264</v>
      </c>
      <c r="C44" s="110">
        <v>39355</v>
      </c>
      <c r="D44" s="111">
        <f t="shared" si="2"/>
        <v>92</v>
      </c>
      <c r="E44" s="111">
        <v>8.25</v>
      </c>
      <c r="F44" s="131">
        <f>F$36+G$43-SUM(H$40:H43)-SUM(I$40:I43)</f>
        <v>12866759.999090055</v>
      </c>
      <c r="G44" s="114">
        <f>+D44/365*E44/100*F44</f>
        <v>267558.10518655757</v>
      </c>
      <c r="H44" s="114">
        <f>F$36/20</f>
        <v>601481.94000000018</v>
      </c>
      <c r="I44" s="116">
        <f>G$43/20</f>
        <v>75715.954688950063</v>
      </c>
      <c r="J44" s="137"/>
    </row>
    <row r="45" spans="1:12" x14ac:dyDescent="0.2">
      <c r="A45" s="123" t="s">
        <v>83</v>
      </c>
      <c r="B45" s="110">
        <f t="shared" si="5"/>
        <v>39356</v>
      </c>
      <c r="C45" s="110">
        <v>39447</v>
      </c>
      <c r="D45" s="111">
        <f t="shared" si="2"/>
        <v>92</v>
      </c>
      <c r="E45" s="111">
        <v>8.25</v>
      </c>
      <c r="F45" s="131">
        <f>F$36+G$43-SUM(H$40:H44)-SUM(I$40:I44)</f>
        <v>12189562.104401102</v>
      </c>
      <c r="G45" s="114">
        <f t="shared" si="4"/>
        <v>253476.09965042293</v>
      </c>
      <c r="H45" s="114">
        <f>F$36/20</f>
        <v>601481.94000000018</v>
      </c>
      <c r="I45" s="116">
        <f>G$43/20</f>
        <v>75715.954688950063</v>
      </c>
      <c r="J45" s="137"/>
    </row>
    <row r="46" spans="1:12" x14ac:dyDescent="0.2">
      <c r="A46" s="123" t="s">
        <v>105</v>
      </c>
      <c r="B46" s="110">
        <f t="shared" si="5"/>
        <v>39448</v>
      </c>
      <c r="C46" s="110">
        <v>39538</v>
      </c>
      <c r="D46" s="111">
        <f t="shared" ref="D46:D58" si="6">+C46-B46+1</f>
        <v>91</v>
      </c>
      <c r="E46" s="111">
        <v>7.76</v>
      </c>
      <c r="F46" s="131">
        <f>F$36+G$43-SUM(H$40:H45)-SUM(I$40:I45)</f>
        <v>11512364.209712153</v>
      </c>
      <c r="G46" s="114">
        <f t="shared" si="4"/>
        <v>222727.97562548859</v>
      </c>
      <c r="H46" s="114">
        <f t="shared" ref="H46:H58" si="7">F$36/20</f>
        <v>601481.94000000018</v>
      </c>
      <c r="I46" s="115">
        <f t="shared" ref="I46:I58" si="8">G$43/20</f>
        <v>75715.954688950063</v>
      </c>
      <c r="J46" s="35"/>
    </row>
    <row r="47" spans="1:12" x14ac:dyDescent="0.2">
      <c r="A47" s="123" t="s">
        <v>106</v>
      </c>
      <c r="B47" s="110">
        <f t="shared" si="5"/>
        <v>39539</v>
      </c>
      <c r="C47" s="110">
        <v>39629</v>
      </c>
      <c r="D47" s="111">
        <f t="shared" si="6"/>
        <v>91</v>
      </c>
      <c r="E47" s="111">
        <v>6.77</v>
      </c>
      <c r="F47" s="131">
        <f>F$36+G$43-SUM(H$40:H46)-SUM(I$40:I46)</f>
        <v>10835166.315023204</v>
      </c>
      <c r="G47" s="114">
        <f t="shared" si="4"/>
        <v>182882.76470400949</v>
      </c>
      <c r="H47" s="114">
        <f t="shared" si="7"/>
        <v>601481.94000000018</v>
      </c>
      <c r="I47" s="115">
        <f t="shared" si="8"/>
        <v>75715.954688950063</v>
      </c>
      <c r="J47" s="35"/>
    </row>
    <row r="48" spans="1:12" x14ac:dyDescent="0.2">
      <c r="A48" s="123" t="s">
        <v>107</v>
      </c>
      <c r="B48" s="110">
        <f t="shared" si="5"/>
        <v>39630</v>
      </c>
      <c r="C48" s="110">
        <v>39721</v>
      </c>
      <c r="D48" s="111">
        <f t="shared" si="6"/>
        <v>92</v>
      </c>
      <c r="E48" s="111">
        <v>5.3</v>
      </c>
      <c r="F48" s="131">
        <f>F$36+G$43-SUM(H$40:H47)-SUM(I$40:I47)</f>
        <v>10157968.420334253</v>
      </c>
      <c r="G48" s="114">
        <f t="shared" si="4"/>
        <v>135699.32607547898</v>
      </c>
      <c r="H48" s="114">
        <f t="shared" si="7"/>
        <v>601481.94000000018</v>
      </c>
      <c r="I48" s="115">
        <f t="shared" si="8"/>
        <v>75715.954688950063</v>
      </c>
      <c r="J48" s="35"/>
    </row>
    <row r="49" spans="1:10" x14ac:dyDescent="0.2">
      <c r="A49" s="123" t="s">
        <v>100</v>
      </c>
      <c r="B49" s="110">
        <f t="shared" si="5"/>
        <v>39722</v>
      </c>
      <c r="C49" s="110">
        <v>39813</v>
      </c>
      <c r="D49" s="111">
        <f t="shared" si="6"/>
        <v>92</v>
      </c>
      <c r="E49" s="111">
        <v>5</v>
      </c>
      <c r="F49" s="131">
        <f>F$36+G$43-SUM(H$40:H48)-SUM(I$40:I48)</f>
        <v>9480770.5256453007</v>
      </c>
      <c r="G49" s="114">
        <f t="shared" si="4"/>
        <v>119483.6833368997</v>
      </c>
      <c r="H49" s="114">
        <f t="shared" si="7"/>
        <v>601481.94000000018</v>
      </c>
      <c r="I49" s="115">
        <f t="shared" si="8"/>
        <v>75715.954688950063</v>
      </c>
      <c r="J49" s="35"/>
    </row>
    <row r="50" spans="1:10" x14ac:dyDescent="0.2">
      <c r="A50" s="123" t="s">
        <v>108</v>
      </c>
      <c r="B50" s="110">
        <f t="shared" si="5"/>
        <v>39814</v>
      </c>
      <c r="C50" s="110">
        <v>39903</v>
      </c>
      <c r="D50" s="111">
        <f t="shared" si="6"/>
        <v>90</v>
      </c>
      <c r="E50" s="111">
        <v>4.5199999999999996</v>
      </c>
      <c r="F50" s="131">
        <f>F$36+G$43-SUM(H$40:H49)-SUM(I$40:I49)</f>
        <v>8803572.6309563518</v>
      </c>
      <c r="G50" s="114">
        <f t="shared" si="4"/>
        <v>98117.62592528887</v>
      </c>
      <c r="H50" s="114">
        <f t="shared" si="7"/>
        <v>601481.94000000018</v>
      </c>
      <c r="I50" s="115">
        <f t="shared" si="8"/>
        <v>75715.954688950063</v>
      </c>
      <c r="J50" s="35"/>
    </row>
    <row r="51" spans="1:10" x14ac:dyDescent="0.2">
      <c r="A51" s="123" t="s">
        <v>109</v>
      </c>
      <c r="B51" s="110">
        <f t="shared" si="5"/>
        <v>39904</v>
      </c>
      <c r="C51" s="110">
        <v>39994</v>
      </c>
      <c r="D51" s="111">
        <f t="shared" si="6"/>
        <v>91</v>
      </c>
      <c r="E51" s="111">
        <v>3.37</v>
      </c>
      <c r="F51" s="131">
        <f>F$36+G$43-SUM(H$40:H50)-SUM(I$40:I50)</f>
        <v>8126374.7362674018</v>
      </c>
      <c r="G51" s="114">
        <f t="shared" si="4"/>
        <v>68277.132612907502</v>
      </c>
      <c r="H51" s="114">
        <f t="shared" si="7"/>
        <v>601481.94000000018</v>
      </c>
      <c r="I51" s="115">
        <f t="shared" si="8"/>
        <v>75715.954688950063</v>
      </c>
      <c r="J51" s="35"/>
    </row>
    <row r="52" spans="1:10" x14ac:dyDescent="0.2">
      <c r="A52" s="123" t="s">
        <v>111</v>
      </c>
      <c r="B52" s="110">
        <f t="shared" si="5"/>
        <v>39995</v>
      </c>
      <c r="C52" s="110">
        <v>40086</v>
      </c>
      <c r="D52" s="111">
        <f t="shared" si="6"/>
        <v>92</v>
      </c>
      <c r="E52" s="111">
        <v>3.25</v>
      </c>
      <c r="F52" s="131">
        <f>F$36+G$43-SUM(H$40:H51)-SUM(I$40:I51)</f>
        <v>7449176.8415784501</v>
      </c>
      <c r="G52" s="114">
        <f t="shared" si="4"/>
        <v>61022.023989916626</v>
      </c>
      <c r="H52" s="114">
        <f t="shared" si="7"/>
        <v>601481.94000000018</v>
      </c>
      <c r="I52" s="115">
        <f t="shared" si="8"/>
        <v>75715.954688950063</v>
      </c>
      <c r="J52" s="35"/>
    </row>
    <row r="53" spans="1:10" x14ac:dyDescent="0.2">
      <c r="A53" s="123" t="s">
        <v>101</v>
      </c>
      <c r="B53" s="110">
        <f t="shared" si="5"/>
        <v>40087</v>
      </c>
      <c r="C53" s="110">
        <v>40178</v>
      </c>
      <c r="D53" s="111">
        <f t="shared" si="6"/>
        <v>92</v>
      </c>
      <c r="E53" s="111">
        <v>3.25</v>
      </c>
      <c r="F53" s="131">
        <f>F$36+G$43-SUM(H$40:H52)-SUM(I$40:I52)</f>
        <v>6771978.9468895001</v>
      </c>
      <c r="G53" s="114">
        <f t="shared" si="4"/>
        <v>55474.567263560566</v>
      </c>
      <c r="H53" s="114">
        <f t="shared" si="7"/>
        <v>601481.94000000018</v>
      </c>
      <c r="I53" s="115">
        <f t="shared" si="8"/>
        <v>75715.954688950063</v>
      </c>
      <c r="J53" s="35"/>
    </row>
    <row r="54" spans="1:10" x14ac:dyDescent="0.2">
      <c r="A54" s="123" t="s">
        <v>112</v>
      </c>
      <c r="B54" s="110">
        <f t="shared" si="5"/>
        <v>40179</v>
      </c>
      <c r="C54" s="110">
        <v>40268</v>
      </c>
      <c r="D54" s="111">
        <f t="shared" si="6"/>
        <v>90</v>
      </c>
      <c r="E54" s="111">
        <v>3.25</v>
      </c>
      <c r="F54" s="131">
        <f>F$36+G$43-SUM(H$40:H53)-SUM(I$40:I53)</f>
        <v>6094781.0522005493</v>
      </c>
      <c r="G54" s="114">
        <f t="shared" si="4"/>
        <v>48841.738569004396</v>
      </c>
      <c r="H54" s="114">
        <f t="shared" si="7"/>
        <v>601481.94000000018</v>
      </c>
      <c r="I54" s="115">
        <f t="shared" si="8"/>
        <v>75715.954688950063</v>
      </c>
      <c r="J54" s="35"/>
    </row>
    <row r="55" spans="1:10" x14ac:dyDescent="0.2">
      <c r="A55" s="123" t="s">
        <v>113</v>
      </c>
      <c r="B55" s="110">
        <f t="shared" si="5"/>
        <v>40269</v>
      </c>
      <c r="C55" s="110">
        <v>40359</v>
      </c>
      <c r="D55" s="111">
        <f t="shared" si="6"/>
        <v>91</v>
      </c>
      <c r="E55" s="111">
        <v>3.25</v>
      </c>
      <c r="F55" s="131">
        <f>F$36+G$43-SUM(H$40:H54)-SUM(I$40:I54)</f>
        <v>5417583.1575115994</v>
      </c>
      <c r="G55" s="114">
        <f t="shared" si="4"/>
        <v>43897.266269426182</v>
      </c>
      <c r="H55" s="114">
        <f t="shared" si="7"/>
        <v>601481.94000000018</v>
      </c>
      <c r="I55" s="115">
        <f t="shared" si="8"/>
        <v>75715.954688950063</v>
      </c>
      <c r="J55" s="35"/>
    </row>
    <row r="56" spans="1:10" x14ac:dyDescent="0.2">
      <c r="A56" s="123" t="s">
        <v>114</v>
      </c>
      <c r="B56" s="110">
        <f t="shared" si="5"/>
        <v>40360</v>
      </c>
      <c r="C56" s="110">
        <v>40451</v>
      </c>
      <c r="D56" s="111">
        <f t="shared" si="6"/>
        <v>92</v>
      </c>
      <c r="E56" s="111">
        <v>3.25</v>
      </c>
      <c r="F56" s="131">
        <f>F$36+G$43-SUM(H$40:H55)-SUM(I$40:I55)</f>
        <v>4740385.2628226485</v>
      </c>
      <c r="G56" s="114">
        <f t="shared" si="4"/>
        <v>38832.197084492385</v>
      </c>
      <c r="H56" s="114">
        <f t="shared" si="7"/>
        <v>601481.94000000018</v>
      </c>
      <c r="I56" s="115">
        <f t="shared" si="8"/>
        <v>75715.954688950063</v>
      </c>
      <c r="J56" s="35"/>
    </row>
    <row r="57" spans="1:10" x14ac:dyDescent="0.2">
      <c r="A57" s="123" t="s">
        <v>102</v>
      </c>
      <c r="B57" s="110">
        <f t="shared" si="5"/>
        <v>40452</v>
      </c>
      <c r="C57" s="110">
        <v>40543</v>
      </c>
      <c r="D57" s="111">
        <f t="shared" si="6"/>
        <v>92</v>
      </c>
      <c r="E57" s="111">
        <v>3.25</v>
      </c>
      <c r="F57" s="131">
        <f>F$36+G$43-SUM(H$40:H56)-SUM(I$40:I56)</f>
        <v>4063187.3681336991</v>
      </c>
      <c r="G57" s="114">
        <f t="shared" si="4"/>
        <v>33284.740358136332</v>
      </c>
      <c r="H57" s="114">
        <f t="shared" si="7"/>
        <v>601481.94000000018</v>
      </c>
      <c r="I57" s="115">
        <f t="shared" si="8"/>
        <v>75715.954688950063</v>
      </c>
      <c r="J57" s="35"/>
    </row>
    <row r="58" spans="1:10" x14ac:dyDescent="0.2">
      <c r="A58" s="124" t="s">
        <v>115</v>
      </c>
      <c r="B58" s="125">
        <f t="shared" si="5"/>
        <v>40544</v>
      </c>
      <c r="C58" s="125">
        <v>40633</v>
      </c>
      <c r="D58" s="126">
        <f t="shared" si="6"/>
        <v>90</v>
      </c>
      <c r="E58" s="111">
        <v>3.25</v>
      </c>
      <c r="F58" s="133">
        <f>F$36+G$43-SUM(H$40:H57)-SUM(I$40:I57)</f>
        <v>3385989.4734447496</v>
      </c>
      <c r="G58" s="114">
        <f t="shared" si="4"/>
        <v>27134.299205002444</v>
      </c>
      <c r="H58" s="114">
        <f t="shared" si="7"/>
        <v>601481.94000000018</v>
      </c>
      <c r="I58" s="115">
        <f t="shared" si="8"/>
        <v>75715.954688950063</v>
      </c>
      <c r="J58" s="35"/>
    </row>
    <row r="59" spans="1:10" x14ac:dyDescent="0.2">
      <c r="A59" s="124" t="s">
        <v>116</v>
      </c>
      <c r="B59" s="125">
        <f>C58+1</f>
        <v>40634</v>
      </c>
      <c r="C59" s="125">
        <v>40724</v>
      </c>
      <c r="D59" s="126">
        <f>+C59-B59+1</f>
        <v>91</v>
      </c>
      <c r="E59" s="111">
        <v>3.25</v>
      </c>
      <c r="F59" s="133">
        <f>F$36+G$43-SUM(H$40:H58)-SUM(I$40:I58)</f>
        <v>2708791.5787558001</v>
      </c>
      <c r="G59" s="114">
        <f>+D59/365*E59/100*F59</f>
        <v>21948.633134713094</v>
      </c>
      <c r="H59" s="114">
        <f>F$36/20</f>
        <v>601481.94000000018</v>
      </c>
      <c r="I59" s="115">
        <f>G$43/20</f>
        <v>75715.954688950063</v>
      </c>
      <c r="J59" s="35"/>
    </row>
    <row r="60" spans="1:10" x14ac:dyDescent="0.2">
      <c r="A60" s="124" t="s">
        <v>117</v>
      </c>
      <c r="B60" s="125">
        <f>C59+1</f>
        <v>40725</v>
      </c>
      <c r="C60" s="125">
        <v>40816</v>
      </c>
      <c r="D60" s="126">
        <f>+C60-B60+1</f>
        <v>92</v>
      </c>
      <c r="E60" s="111">
        <v>3.25</v>
      </c>
      <c r="F60" s="133">
        <f>F$36+G$43-SUM(H$40:H59)-SUM(I$40:I59)</f>
        <v>2031593.6840668507</v>
      </c>
      <c r="G60" s="114">
        <f>+D60/365*E60/100*F60</f>
        <v>16642.370179068177</v>
      </c>
      <c r="H60" s="114">
        <f>F$36/20</f>
        <v>601481.94000000018</v>
      </c>
      <c r="I60" s="115">
        <f>G$43/20</f>
        <v>75715.954688950063</v>
      </c>
      <c r="J60" s="35"/>
    </row>
    <row r="61" spans="1:10" x14ac:dyDescent="0.2">
      <c r="A61" s="124" t="s">
        <v>103</v>
      </c>
      <c r="B61" s="125">
        <f>C60+1</f>
        <v>40817</v>
      </c>
      <c r="C61" s="125">
        <v>40908</v>
      </c>
      <c r="D61" s="126">
        <f>+C61-B61+1</f>
        <v>92</v>
      </c>
      <c r="E61" s="111">
        <v>3.25</v>
      </c>
      <c r="F61" s="133">
        <f>F$36+G$43-SUM(H$40:H60)-SUM(I$40:I60)</f>
        <v>1354395.7893779012</v>
      </c>
      <c r="G61" s="114">
        <f>+D61/365*E61/100*F61</f>
        <v>11094.913452712124</v>
      </c>
      <c r="H61" s="114">
        <f>F$36/20</f>
        <v>601481.94000000018</v>
      </c>
      <c r="I61" s="115">
        <f>G$43/20</f>
        <v>75715.954688950063</v>
      </c>
      <c r="J61" s="35"/>
    </row>
    <row r="62" spans="1:10" x14ac:dyDescent="0.2">
      <c r="A62" s="124" t="s">
        <v>110</v>
      </c>
      <c r="B62" s="125">
        <f>C61+1</f>
        <v>40909</v>
      </c>
      <c r="C62" s="125">
        <v>40999</v>
      </c>
      <c r="D62" s="126">
        <f>+C62-B62+1</f>
        <v>91</v>
      </c>
      <c r="E62" s="111">
        <v>3.25</v>
      </c>
      <c r="F62" s="133">
        <f>F$36+G$43-SUM(H$40:H61)-SUM(I$40:I61)</f>
        <v>677197.89468895178</v>
      </c>
      <c r="G62" s="114">
        <f>+D62/365*E62/100*F62</f>
        <v>5487.1582836782873</v>
      </c>
      <c r="H62" s="114">
        <f>F$36/20</f>
        <v>601481.94000000018</v>
      </c>
      <c r="I62" s="115">
        <f>G$43/20</f>
        <v>75715.954688950063</v>
      </c>
      <c r="J62" s="35"/>
    </row>
    <row r="63" spans="1:10" x14ac:dyDescent="0.2">
      <c r="A63" s="124"/>
      <c r="B63" s="125"/>
      <c r="C63" s="125"/>
      <c r="D63" s="126"/>
      <c r="E63" s="111"/>
      <c r="F63" s="133"/>
      <c r="G63" s="114"/>
      <c r="H63" s="202">
        <f>SUM(H42:H62)</f>
        <v>12029638.800000001</v>
      </c>
      <c r="I63" s="328">
        <f>SUM(I42:I62)</f>
        <v>1514319.0937790009</v>
      </c>
      <c r="J63" s="35"/>
    </row>
    <row r="64" spans="1:10" x14ac:dyDescent="0.2">
      <c r="G64" s="74"/>
      <c r="H64" s="55"/>
    </row>
    <row r="65" spans="1:11" x14ac:dyDescent="0.2">
      <c r="A65" s="387" t="s">
        <v>127</v>
      </c>
      <c r="B65" s="388"/>
      <c r="C65" s="388"/>
      <c r="D65" s="388"/>
      <c r="E65" s="388"/>
      <c r="F65" s="388"/>
      <c r="G65" s="388"/>
      <c r="H65" s="388"/>
      <c r="I65" s="388"/>
      <c r="J65" s="389"/>
      <c r="K65" s="36"/>
    </row>
    <row r="66" spans="1:11" x14ac:dyDescent="0.2">
      <c r="A66" s="30" t="s">
        <v>10</v>
      </c>
      <c r="B66" s="30" t="s">
        <v>11</v>
      </c>
      <c r="C66" s="30" t="s">
        <v>12</v>
      </c>
      <c r="D66" s="30" t="s">
        <v>13</v>
      </c>
      <c r="E66" s="30" t="s">
        <v>14</v>
      </c>
      <c r="F66" s="30" t="s">
        <v>15</v>
      </c>
      <c r="G66" s="30" t="s">
        <v>16</v>
      </c>
      <c r="H66" s="30"/>
      <c r="I66" s="30"/>
      <c r="J66" s="30" t="s">
        <v>17</v>
      </c>
      <c r="K66" s="37"/>
    </row>
    <row r="67" spans="1:11" ht="51" x14ac:dyDescent="0.2">
      <c r="A67" s="31" t="s">
        <v>18</v>
      </c>
      <c r="B67" s="31" t="s">
        <v>19</v>
      </c>
      <c r="C67" s="31" t="s">
        <v>20</v>
      </c>
      <c r="D67" s="31" t="s">
        <v>21</v>
      </c>
      <c r="E67" s="31" t="s">
        <v>22</v>
      </c>
      <c r="F67" s="31" t="s">
        <v>23</v>
      </c>
      <c r="G67" s="6" t="s">
        <v>130</v>
      </c>
      <c r="H67" s="6" t="s">
        <v>37</v>
      </c>
      <c r="I67" s="6" t="s">
        <v>131</v>
      </c>
      <c r="J67" s="31" t="s">
        <v>25</v>
      </c>
      <c r="K67" s="38"/>
    </row>
    <row r="68" spans="1:11" x14ac:dyDescent="0.2">
      <c r="A68" s="102" t="s">
        <v>90</v>
      </c>
      <c r="B68" s="138">
        <v>37026</v>
      </c>
      <c r="C68" s="138">
        <v>37072</v>
      </c>
      <c r="D68" s="104">
        <f t="shared" ref="D68:D88" si="9">+C68-B68+1</f>
        <v>47</v>
      </c>
      <c r="E68" s="149">
        <v>9.02</v>
      </c>
      <c r="F68" s="150">
        <f>E6</f>
        <v>482879.15</v>
      </c>
      <c r="G68" s="151">
        <f t="shared" ref="G68:G75" si="10">+D68/365*E68/100*F68</f>
        <v>5608.5421055068491</v>
      </c>
      <c r="H68" s="151"/>
      <c r="I68" s="152"/>
      <c r="J68" s="159">
        <f>+F68+G68</f>
        <v>488487.6921055069</v>
      </c>
    </row>
    <row r="69" spans="1:11" x14ac:dyDescent="0.2">
      <c r="A69" s="109" t="s">
        <v>91</v>
      </c>
      <c r="B69" s="139">
        <f t="shared" ref="B69:B89" si="11">C68+1</f>
        <v>37073</v>
      </c>
      <c r="C69" s="139">
        <v>37164</v>
      </c>
      <c r="D69" s="111">
        <f t="shared" si="9"/>
        <v>92</v>
      </c>
      <c r="E69" s="140">
        <v>7.79</v>
      </c>
      <c r="F69" s="153">
        <f>J68</f>
        <v>488487.6921055069</v>
      </c>
      <c r="G69" s="154">
        <f t="shared" si="10"/>
        <v>9591.4892925527311</v>
      </c>
      <c r="H69" s="154"/>
      <c r="I69" s="155"/>
      <c r="J69" s="143">
        <f t="shared" ref="J69:J90" si="12">+F69+G69</f>
        <v>498079.18139805965</v>
      </c>
    </row>
    <row r="70" spans="1:11" x14ac:dyDescent="0.2">
      <c r="A70" s="109" t="s">
        <v>92</v>
      </c>
      <c r="B70" s="139">
        <f t="shared" si="11"/>
        <v>37165</v>
      </c>
      <c r="C70" s="139">
        <v>37256</v>
      </c>
      <c r="D70" s="111">
        <f t="shared" si="9"/>
        <v>92</v>
      </c>
      <c r="E70" s="140">
        <v>6.8</v>
      </c>
      <c r="F70" s="153">
        <f t="shared" ref="F70:F89" si="13">J69</f>
        <v>498079.18139805965</v>
      </c>
      <c r="G70" s="154">
        <f t="shared" si="10"/>
        <v>8536.9407091130452</v>
      </c>
      <c r="H70" s="154"/>
      <c r="I70" s="155"/>
      <c r="J70" s="143">
        <f t="shared" si="12"/>
        <v>506616.12210717268</v>
      </c>
    </row>
    <row r="71" spans="1:11" x14ac:dyDescent="0.2">
      <c r="A71" s="109" t="s">
        <v>93</v>
      </c>
      <c r="B71" s="139">
        <f t="shared" si="11"/>
        <v>37257</v>
      </c>
      <c r="C71" s="139">
        <v>37346</v>
      </c>
      <c r="D71" s="111">
        <f t="shared" si="9"/>
        <v>90</v>
      </c>
      <c r="E71" s="140">
        <v>5.64</v>
      </c>
      <c r="F71" s="153">
        <f t="shared" si="13"/>
        <v>506616.12210717268</v>
      </c>
      <c r="G71" s="154">
        <f t="shared" si="10"/>
        <v>7045.4340707287902</v>
      </c>
      <c r="H71" s="154"/>
      <c r="I71" s="155"/>
      <c r="J71" s="143">
        <f t="shared" si="12"/>
        <v>513661.55617790145</v>
      </c>
    </row>
    <row r="72" spans="1:11" x14ac:dyDescent="0.2">
      <c r="A72" s="109" t="s">
        <v>94</v>
      </c>
      <c r="B72" s="139">
        <f t="shared" si="11"/>
        <v>37347</v>
      </c>
      <c r="C72" s="139">
        <v>37437</v>
      </c>
      <c r="D72" s="111">
        <f t="shared" si="9"/>
        <v>91</v>
      </c>
      <c r="E72" s="140">
        <v>4.78</v>
      </c>
      <c r="F72" s="153">
        <f t="shared" si="13"/>
        <v>513661.55617790145</v>
      </c>
      <c r="G72" s="154">
        <f t="shared" si="10"/>
        <v>6121.4384577058509</v>
      </c>
      <c r="H72" s="154"/>
      <c r="I72" s="155"/>
      <c r="J72" s="143">
        <f t="shared" si="12"/>
        <v>519782.99463560729</v>
      </c>
    </row>
    <row r="73" spans="1:11" x14ac:dyDescent="0.2">
      <c r="A73" s="109" t="s">
        <v>73</v>
      </c>
      <c r="B73" s="139">
        <f t="shared" si="11"/>
        <v>37438</v>
      </c>
      <c r="C73" s="139">
        <v>37529</v>
      </c>
      <c r="D73" s="111">
        <f t="shared" si="9"/>
        <v>92</v>
      </c>
      <c r="E73" s="140">
        <v>4.75</v>
      </c>
      <c r="F73" s="153">
        <f t="shared" si="13"/>
        <v>519782.99463560729</v>
      </c>
      <c r="G73" s="154">
        <f t="shared" si="10"/>
        <v>6223.1553056372713</v>
      </c>
      <c r="H73" s="154"/>
      <c r="I73" s="155"/>
      <c r="J73" s="143">
        <f t="shared" si="12"/>
        <v>526006.14994124451</v>
      </c>
    </row>
    <row r="74" spans="1:11" x14ac:dyDescent="0.2">
      <c r="A74" s="109" t="s">
        <v>60</v>
      </c>
      <c r="B74" s="139">
        <f t="shared" si="11"/>
        <v>37530</v>
      </c>
      <c r="C74" s="139">
        <v>37621</v>
      </c>
      <c r="D74" s="111">
        <f t="shared" si="9"/>
        <v>92</v>
      </c>
      <c r="E74" s="140">
        <v>4.75</v>
      </c>
      <c r="F74" s="153">
        <f t="shared" si="13"/>
        <v>526006.14994124451</v>
      </c>
      <c r="G74" s="154">
        <f t="shared" si="10"/>
        <v>6297.6626718992839</v>
      </c>
      <c r="H74" s="154"/>
      <c r="I74" s="155"/>
      <c r="J74" s="143">
        <f t="shared" si="12"/>
        <v>532303.81261314382</v>
      </c>
    </row>
    <row r="75" spans="1:11" x14ac:dyDescent="0.2">
      <c r="A75" s="109" t="s">
        <v>74</v>
      </c>
      <c r="B75" s="139">
        <f t="shared" si="11"/>
        <v>37622</v>
      </c>
      <c r="C75" s="139">
        <v>37711</v>
      </c>
      <c r="D75" s="111">
        <f t="shared" si="9"/>
        <v>90</v>
      </c>
      <c r="E75" s="140">
        <v>4.62</v>
      </c>
      <c r="F75" s="153">
        <f t="shared" si="13"/>
        <v>532303.81261314382</v>
      </c>
      <c r="G75" s="154">
        <f t="shared" si="10"/>
        <v>6063.8883639601418</v>
      </c>
      <c r="H75" s="154"/>
      <c r="I75" s="155"/>
      <c r="J75" s="143">
        <f t="shared" si="12"/>
        <v>538367.70097710402</v>
      </c>
    </row>
    <row r="76" spans="1:11" x14ac:dyDescent="0.2">
      <c r="A76" s="109" t="s">
        <v>61</v>
      </c>
      <c r="B76" s="139">
        <f t="shared" si="11"/>
        <v>37712</v>
      </c>
      <c r="C76" s="110">
        <v>37802</v>
      </c>
      <c r="D76" s="111">
        <f t="shared" si="9"/>
        <v>91</v>
      </c>
      <c r="E76" s="112">
        <v>4.25</v>
      </c>
      <c r="F76" s="153">
        <f t="shared" si="13"/>
        <v>538367.70097710402</v>
      </c>
      <c r="G76" s="154">
        <f>+D76/365*E76/100*F76</f>
        <v>5704.485160353287</v>
      </c>
      <c r="H76" s="154"/>
      <c r="I76" s="155"/>
      <c r="J76" s="143">
        <f t="shared" si="12"/>
        <v>544072.18613745726</v>
      </c>
    </row>
    <row r="77" spans="1:11" x14ac:dyDescent="0.2">
      <c r="A77" s="109" t="s">
        <v>62</v>
      </c>
      <c r="B77" s="139">
        <f t="shared" si="11"/>
        <v>37803</v>
      </c>
      <c r="C77" s="110">
        <v>37894</v>
      </c>
      <c r="D77" s="111">
        <f t="shared" si="9"/>
        <v>92</v>
      </c>
      <c r="E77" s="112">
        <v>4.25</v>
      </c>
      <c r="F77" s="153">
        <f t="shared" si="13"/>
        <v>544072.18613745726</v>
      </c>
      <c r="G77" s="154">
        <f>+D77/365*E77/100*F77</f>
        <v>5828.28013095194</v>
      </c>
      <c r="H77" s="154"/>
      <c r="I77" s="155"/>
      <c r="J77" s="143">
        <f t="shared" si="12"/>
        <v>549900.46626840916</v>
      </c>
    </row>
    <row r="78" spans="1:11" x14ac:dyDescent="0.2">
      <c r="A78" s="109" t="s">
        <v>75</v>
      </c>
      <c r="B78" s="139">
        <f t="shared" si="11"/>
        <v>37895</v>
      </c>
      <c r="C78" s="110">
        <v>37986</v>
      </c>
      <c r="D78" s="111">
        <f t="shared" si="9"/>
        <v>92</v>
      </c>
      <c r="E78" s="112">
        <v>4.07</v>
      </c>
      <c r="F78" s="153">
        <f t="shared" ref="F78:F86" si="14">J77</f>
        <v>549900.46626840916</v>
      </c>
      <c r="G78" s="154">
        <f>+D78/365*E78/100*F78</f>
        <v>5641.2254956039214</v>
      </c>
      <c r="H78" s="154"/>
      <c r="I78" s="155"/>
      <c r="J78" s="143">
        <f>+F78+G78</f>
        <v>555541.69176401303</v>
      </c>
    </row>
    <row r="79" spans="1:11" x14ac:dyDescent="0.2">
      <c r="A79" s="109" t="s">
        <v>72</v>
      </c>
      <c r="B79" s="139">
        <f t="shared" si="11"/>
        <v>37987</v>
      </c>
      <c r="C79" s="110">
        <v>38077</v>
      </c>
      <c r="D79" s="111">
        <f t="shared" si="9"/>
        <v>91</v>
      </c>
      <c r="E79" s="112">
        <v>4</v>
      </c>
      <c r="F79" s="153">
        <f t="shared" si="14"/>
        <v>555541.69176401303</v>
      </c>
      <c r="G79" s="154">
        <f>+D79/366*E79/100*F79</f>
        <v>5525.0594481448288</v>
      </c>
      <c r="H79" s="154"/>
      <c r="I79" s="155"/>
      <c r="J79" s="143">
        <f>+F79+G79</f>
        <v>561066.75121215789</v>
      </c>
    </row>
    <row r="80" spans="1:11" x14ac:dyDescent="0.2">
      <c r="A80" s="109" t="s">
        <v>63</v>
      </c>
      <c r="B80" s="139">
        <f t="shared" si="11"/>
        <v>38078</v>
      </c>
      <c r="C80" s="110">
        <v>38168</v>
      </c>
      <c r="D80" s="111">
        <f>+C80-B80+1</f>
        <v>91</v>
      </c>
      <c r="E80" s="112">
        <v>4</v>
      </c>
      <c r="F80" s="153">
        <f t="shared" si="14"/>
        <v>561066.75121215789</v>
      </c>
      <c r="G80" s="154">
        <f>+D80/366*E80/100*F80</f>
        <v>5580.0081268094391</v>
      </c>
      <c r="H80" s="154"/>
      <c r="I80" s="155"/>
      <c r="J80" s="143">
        <f>+F80+G80</f>
        <v>566646.75933896739</v>
      </c>
    </row>
    <row r="81" spans="1:10" x14ac:dyDescent="0.2">
      <c r="A81" s="109" t="s">
        <v>64</v>
      </c>
      <c r="B81" s="139">
        <f t="shared" si="11"/>
        <v>38169</v>
      </c>
      <c r="C81" s="110">
        <v>38260</v>
      </c>
      <c r="D81" s="111">
        <f t="shared" si="9"/>
        <v>92</v>
      </c>
      <c r="E81" s="112">
        <v>4</v>
      </c>
      <c r="F81" s="153">
        <f t="shared" si="14"/>
        <v>566646.75933896739</v>
      </c>
      <c r="G81" s="154">
        <f>+D81/366*E81/100*F81</f>
        <v>5697.4318971786888</v>
      </c>
      <c r="H81" s="154"/>
      <c r="I81" s="155"/>
      <c r="J81" s="143">
        <f>+F81+G81</f>
        <v>572344.19123614603</v>
      </c>
    </row>
    <row r="82" spans="1:10" x14ac:dyDescent="0.2">
      <c r="A82" s="109" t="s">
        <v>32</v>
      </c>
      <c r="B82" s="139">
        <f t="shared" si="11"/>
        <v>38261</v>
      </c>
      <c r="C82" s="110">
        <v>38352</v>
      </c>
      <c r="D82" s="111">
        <f t="shared" si="9"/>
        <v>92</v>
      </c>
      <c r="E82" s="112">
        <v>4.22</v>
      </c>
      <c r="F82" s="153">
        <f t="shared" si="14"/>
        <v>572344.19123614603</v>
      </c>
      <c r="G82" s="154">
        <f>+D82/366*E82/100*F82</f>
        <v>6071.2270165442987</v>
      </c>
      <c r="H82" s="154"/>
      <c r="I82" s="155"/>
      <c r="J82" s="143">
        <f t="shared" si="12"/>
        <v>578415.41825269035</v>
      </c>
    </row>
    <row r="83" spans="1:10" x14ac:dyDescent="0.2">
      <c r="A83" s="109" t="s">
        <v>33</v>
      </c>
      <c r="B83" s="139">
        <f t="shared" si="11"/>
        <v>38353</v>
      </c>
      <c r="C83" s="110">
        <v>38442</v>
      </c>
      <c r="D83" s="111">
        <f t="shared" si="9"/>
        <v>90</v>
      </c>
      <c r="E83" s="112">
        <v>4.75</v>
      </c>
      <c r="F83" s="153">
        <f t="shared" si="14"/>
        <v>578415.41825269035</v>
      </c>
      <c r="G83" s="154">
        <f t="shared" ref="G83:G89" si="15">+D83/365*E83/100*F83</f>
        <v>6774.5915425486337</v>
      </c>
      <c r="H83" s="154"/>
      <c r="I83" s="155"/>
      <c r="J83" s="143">
        <f t="shared" si="12"/>
        <v>585190.00979523896</v>
      </c>
    </row>
    <row r="84" spans="1:10" x14ac:dyDescent="0.2">
      <c r="A84" s="109" t="s">
        <v>34</v>
      </c>
      <c r="B84" s="139">
        <f t="shared" si="11"/>
        <v>38443</v>
      </c>
      <c r="C84" s="110">
        <v>38533</v>
      </c>
      <c r="D84" s="111">
        <f t="shared" si="9"/>
        <v>91</v>
      </c>
      <c r="E84" s="112">
        <v>5.3</v>
      </c>
      <c r="F84" s="153">
        <f t="shared" si="14"/>
        <v>585190.00979523896</v>
      </c>
      <c r="G84" s="154">
        <f t="shared" si="15"/>
        <v>7732.5244308011979</v>
      </c>
      <c r="H84" s="154"/>
      <c r="I84" s="155"/>
      <c r="J84" s="143">
        <f t="shared" si="12"/>
        <v>592922.53422604012</v>
      </c>
    </row>
    <row r="85" spans="1:10" x14ac:dyDescent="0.2">
      <c r="A85" s="109" t="s">
        <v>35</v>
      </c>
      <c r="B85" s="139">
        <f t="shared" si="11"/>
        <v>38534</v>
      </c>
      <c r="C85" s="110">
        <v>38625</v>
      </c>
      <c r="D85" s="111">
        <f t="shared" si="9"/>
        <v>92</v>
      </c>
      <c r="E85" s="112">
        <v>5.77</v>
      </c>
      <c r="F85" s="153">
        <f t="shared" si="14"/>
        <v>592922.53422604012</v>
      </c>
      <c r="G85" s="154">
        <f t="shared" si="15"/>
        <v>8623.2054265356473</v>
      </c>
      <c r="H85" s="154"/>
      <c r="I85" s="155"/>
      <c r="J85" s="143">
        <f t="shared" si="12"/>
        <v>601545.73965257581</v>
      </c>
    </row>
    <row r="86" spans="1:10" x14ac:dyDescent="0.2">
      <c r="A86" s="109" t="s">
        <v>36</v>
      </c>
      <c r="B86" s="139">
        <f t="shared" si="11"/>
        <v>38626</v>
      </c>
      <c r="C86" s="110">
        <v>38717</v>
      </c>
      <c r="D86" s="111">
        <f t="shared" si="9"/>
        <v>92</v>
      </c>
      <c r="E86" s="112">
        <v>6.23</v>
      </c>
      <c r="F86" s="153">
        <f t="shared" si="14"/>
        <v>601545.73965257581</v>
      </c>
      <c r="G86" s="154">
        <f t="shared" si="15"/>
        <v>9446.080990116996</v>
      </c>
      <c r="H86" s="154"/>
      <c r="I86" s="155"/>
      <c r="J86" s="143">
        <f t="shared" si="12"/>
        <v>610991.82064269285</v>
      </c>
    </row>
    <row r="87" spans="1:10" x14ac:dyDescent="0.2">
      <c r="A87" s="109" t="s">
        <v>76</v>
      </c>
      <c r="B87" s="139">
        <f t="shared" si="11"/>
        <v>38718</v>
      </c>
      <c r="C87" s="110">
        <v>38807</v>
      </c>
      <c r="D87" s="111">
        <f>+C87-B87+1</f>
        <v>90</v>
      </c>
      <c r="E87" s="112">
        <v>6.78</v>
      </c>
      <c r="F87" s="153">
        <f t="shared" si="13"/>
        <v>610991.82064269285</v>
      </c>
      <c r="G87" s="154">
        <f t="shared" si="15"/>
        <v>10214.44408099099</v>
      </c>
      <c r="H87" s="154"/>
      <c r="I87" s="155"/>
      <c r="J87" s="143">
        <f t="shared" si="12"/>
        <v>621206.26472368382</v>
      </c>
    </row>
    <row r="88" spans="1:10" x14ac:dyDescent="0.2">
      <c r="A88" s="109" t="s">
        <v>77</v>
      </c>
      <c r="B88" s="139">
        <f t="shared" si="11"/>
        <v>38808</v>
      </c>
      <c r="C88" s="110">
        <v>38898</v>
      </c>
      <c r="D88" s="111">
        <f t="shared" si="9"/>
        <v>91</v>
      </c>
      <c r="E88" s="112">
        <v>7.3</v>
      </c>
      <c r="F88" s="153">
        <f t="shared" si="13"/>
        <v>621206.26472368382</v>
      </c>
      <c r="G88" s="154">
        <f t="shared" si="15"/>
        <v>11305.954017971046</v>
      </c>
      <c r="H88" s="154"/>
      <c r="I88" s="155"/>
      <c r="J88" s="143">
        <f t="shared" si="12"/>
        <v>632512.21874165488</v>
      </c>
    </row>
    <row r="89" spans="1:10" x14ac:dyDescent="0.2">
      <c r="A89" s="109" t="s">
        <v>78</v>
      </c>
      <c r="B89" s="139">
        <f t="shared" si="11"/>
        <v>38899</v>
      </c>
      <c r="C89" s="110">
        <v>38990</v>
      </c>
      <c r="D89" s="111">
        <f>+C89-B89+1</f>
        <v>92</v>
      </c>
      <c r="E89" s="112">
        <v>7.74</v>
      </c>
      <c r="F89" s="153">
        <f t="shared" si="13"/>
        <v>632512.21874165488</v>
      </c>
      <c r="G89" s="154">
        <f t="shared" si="15"/>
        <v>12339.706869083773</v>
      </c>
      <c r="H89" s="119"/>
      <c r="I89" s="141"/>
      <c r="J89" s="143">
        <f t="shared" si="12"/>
        <v>644851.92561073869</v>
      </c>
    </row>
    <row r="90" spans="1:10" x14ac:dyDescent="0.2">
      <c r="A90" s="109" t="s">
        <v>79</v>
      </c>
      <c r="B90" s="139">
        <f>C89+1</f>
        <v>38991</v>
      </c>
      <c r="C90" s="110">
        <v>39082</v>
      </c>
      <c r="D90" s="111">
        <f>+C90-B90+1</f>
        <v>92</v>
      </c>
      <c r="E90" s="112">
        <v>8.17</v>
      </c>
      <c r="F90" s="153">
        <f>J89</f>
        <v>644851.92561073869</v>
      </c>
      <c r="G90" s="154">
        <f>+D90/365*E90/100*F90</f>
        <v>13279.356201809744</v>
      </c>
      <c r="H90" s="114"/>
      <c r="I90" s="115"/>
      <c r="J90" s="143">
        <f t="shared" si="12"/>
        <v>658131.2818125484</v>
      </c>
    </row>
    <row r="91" spans="1:10" x14ac:dyDescent="0.2">
      <c r="A91" s="109" t="s">
        <v>80</v>
      </c>
      <c r="B91" s="139">
        <f>C90+1</f>
        <v>39083</v>
      </c>
      <c r="C91" s="110">
        <v>39172</v>
      </c>
      <c r="D91" s="111">
        <f>+C91-B91+1</f>
        <v>90</v>
      </c>
      <c r="E91" s="112">
        <v>8.25</v>
      </c>
      <c r="F91" s="153">
        <f>J90</f>
        <v>658131.2818125484</v>
      </c>
      <c r="G91" s="154">
        <f>+D91/365*E91/100*F91</f>
        <v>13388.013061529238</v>
      </c>
      <c r="H91" s="114"/>
      <c r="I91" s="115"/>
      <c r="J91" s="143">
        <f>+F91+G91</f>
        <v>671519.29487407766</v>
      </c>
    </row>
    <row r="92" spans="1:10" x14ac:dyDescent="0.2">
      <c r="A92" s="109" t="s">
        <v>81</v>
      </c>
      <c r="B92" s="110">
        <f>C91+1</f>
        <v>39173</v>
      </c>
      <c r="C92" s="110">
        <v>39263</v>
      </c>
      <c r="D92" s="111">
        <f>+C92-B92+1</f>
        <v>91</v>
      </c>
      <c r="E92" s="112">
        <v>8.25</v>
      </c>
      <c r="F92" s="153">
        <f>J91</f>
        <v>671519.29487407766</v>
      </c>
      <c r="G92" s="154">
        <f>+D92/365*E92/100*F92</f>
        <v>13812.140017170243</v>
      </c>
      <c r="H92" s="114">
        <f>E6/20</f>
        <v>24143.9575</v>
      </c>
      <c r="I92" s="115">
        <f>G93/20</f>
        <v>10122.614244562395</v>
      </c>
      <c r="J92" s="143">
        <f>F92+G92-H92-I92</f>
        <v>651064.86314668553</v>
      </c>
    </row>
    <row r="93" spans="1:10" ht="15" customHeight="1" x14ac:dyDescent="0.2">
      <c r="A93" s="117"/>
      <c r="B93" s="118"/>
      <c r="C93" s="118"/>
      <c r="D93" s="247"/>
      <c r="E93" s="390" t="s">
        <v>132</v>
      </c>
      <c r="F93" s="391"/>
      <c r="G93" s="120">
        <f>SUM(G68:G92)</f>
        <v>202452.28489124792</v>
      </c>
      <c r="H93" s="147"/>
      <c r="I93" s="248"/>
      <c r="J93" s="148"/>
    </row>
    <row r="94" spans="1:10" x14ac:dyDescent="0.2">
      <c r="A94" s="109" t="s">
        <v>82</v>
      </c>
      <c r="B94" s="110">
        <f>C92+1</f>
        <v>39264</v>
      </c>
      <c r="C94" s="110">
        <v>39355</v>
      </c>
      <c r="D94" s="111">
        <f>+C94-B94+1</f>
        <v>92</v>
      </c>
      <c r="E94" s="111">
        <v>8.25</v>
      </c>
      <c r="F94" s="131">
        <f>F$68+G$93-SUM(H$90:H93)-SUM(I$90:I93)</f>
        <v>651064.86314668553</v>
      </c>
      <c r="G94" s="114">
        <f>+D94/365*E94/100*F94</f>
        <v>13538.581674748886</v>
      </c>
      <c r="H94" s="114">
        <f t="shared" ref="H94:H108" si="16">F$68/20</f>
        <v>24143.9575</v>
      </c>
      <c r="I94" s="116">
        <f t="shared" ref="I94:I108" si="17">G$93/20</f>
        <v>10122.614244562395</v>
      </c>
      <c r="J94" s="137"/>
    </row>
    <row r="95" spans="1:10" x14ac:dyDescent="0.2">
      <c r="A95" s="123" t="s">
        <v>83</v>
      </c>
      <c r="B95" s="110">
        <f>C94+1</f>
        <v>39356</v>
      </c>
      <c r="C95" s="110">
        <v>39447</v>
      </c>
      <c r="D95" s="111">
        <f>+C95-B95+1</f>
        <v>92</v>
      </c>
      <c r="E95" s="111">
        <v>8.25</v>
      </c>
      <c r="F95" s="131">
        <f>F$68+G$93-SUM(H$90:H94)-SUM(I$90:I94)</f>
        <v>616798.29140212305</v>
      </c>
      <c r="G95" s="114">
        <f>+D95/365*E95/100*F95</f>
        <v>12826.024744498944</v>
      </c>
      <c r="H95" s="114">
        <f t="shared" si="16"/>
        <v>24143.9575</v>
      </c>
      <c r="I95" s="116">
        <f t="shared" si="17"/>
        <v>10122.614244562395</v>
      </c>
      <c r="J95" s="137"/>
    </row>
    <row r="96" spans="1:10" x14ac:dyDescent="0.2">
      <c r="A96" s="123" t="s">
        <v>105</v>
      </c>
      <c r="B96" s="110">
        <f t="shared" ref="B96:B108" si="18">C95+1</f>
        <v>39448</v>
      </c>
      <c r="C96" s="110">
        <v>39538</v>
      </c>
      <c r="D96" s="111">
        <f t="shared" ref="D96:D108" si="19">+C96-B96+1</f>
        <v>91</v>
      </c>
      <c r="E96" s="111">
        <v>7.76</v>
      </c>
      <c r="F96" s="131">
        <f>F$68+G$93-SUM(H$90:H95)-SUM(I$90:I95)</f>
        <v>582531.71965756069</v>
      </c>
      <c r="G96" s="114">
        <f>+D96/366*E96/100*F96</f>
        <v>11239.360632606094</v>
      </c>
      <c r="H96" s="114">
        <f t="shared" si="16"/>
        <v>24143.9575</v>
      </c>
      <c r="I96" s="115">
        <f t="shared" si="17"/>
        <v>10122.614244562395</v>
      </c>
      <c r="J96" s="35"/>
    </row>
    <row r="97" spans="1:10" x14ac:dyDescent="0.2">
      <c r="A97" s="123" t="s">
        <v>106</v>
      </c>
      <c r="B97" s="110">
        <f t="shared" si="18"/>
        <v>39539</v>
      </c>
      <c r="C97" s="110">
        <v>39629</v>
      </c>
      <c r="D97" s="111">
        <f t="shared" si="19"/>
        <v>91</v>
      </c>
      <c r="E97" s="111">
        <v>6.77</v>
      </c>
      <c r="F97" s="131">
        <f>F$68+G$93-SUM(H$90:H96)-SUM(I$90:I96)</f>
        <v>548265.14791299833</v>
      </c>
      <c r="G97" s="114">
        <f>+D97/366*E97/100*F97</f>
        <v>9228.6805922065796</v>
      </c>
      <c r="H97" s="114">
        <f t="shared" si="16"/>
        <v>24143.9575</v>
      </c>
      <c r="I97" s="115">
        <f t="shared" si="17"/>
        <v>10122.614244562395</v>
      </c>
      <c r="J97" s="35"/>
    </row>
    <row r="98" spans="1:10" x14ac:dyDescent="0.2">
      <c r="A98" s="123" t="s">
        <v>107</v>
      </c>
      <c r="B98" s="110">
        <f t="shared" si="18"/>
        <v>39630</v>
      </c>
      <c r="C98" s="110">
        <v>39721</v>
      </c>
      <c r="D98" s="111">
        <f t="shared" si="19"/>
        <v>92</v>
      </c>
      <c r="E98" s="111">
        <v>5.3</v>
      </c>
      <c r="F98" s="131">
        <f>F$68+G$93-SUM(H$90:H97)-SUM(I$90:I97)</f>
        <v>513998.57616843592</v>
      </c>
      <c r="G98" s="114">
        <f>+D98/366*E98/100*F98</f>
        <v>6847.6968781346823</v>
      </c>
      <c r="H98" s="114">
        <f t="shared" si="16"/>
        <v>24143.9575</v>
      </c>
      <c r="I98" s="115">
        <f t="shared" si="17"/>
        <v>10122.614244562395</v>
      </c>
      <c r="J98" s="35"/>
    </row>
    <row r="99" spans="1:10" x14ac:dyDescent="0.2">
      <c r="A99" s="123" t="s">
        <v>100</v>
      </c>
      <c r="B99" s="110">
        <f t="shared" si="18"/>
        <v>39722</v>
      </c>
      <c r="C99" s="110">
        <v>39813</v>
      </c>
      <c r="D99" s="111">
        <f t="shared" si="19"/>
        <v>92</v>
      </c>
      <c r="E99" s="111">
        <v>5</v>
      </c>
      <c r="F99" s="131">
        <f>F$68+G$93-SUM(H$90:H98)-SUM(I$90:I98)</f>
        <v>479732.0044238735</v>
      </c>
      <c r="G99" s="114">
        <f>+D99/366*E99/100*F99</f>
        <v>6029.4186348355688</v>
      </c>
      <c r="H99" s="114">
        <f t="shared" si="16"/>
        <v>24143.9575</v>
      </c>
      <c r="I99" s="115">
        <f t="shared" si="17"/>
        <v>10122.614244562395</v>
      </c>
      <c r="J99" s="35"/>
    </row>
    <row r="100" spans="1:10" x14ac:dyDescent="0.2">
      <c r="A100" s="123" t="s">
        <v>108</v>
      </c>
      <c r="B100" s="110">
        <f t="shared" si="18"/>
        <v>39814</v>
      </c>
      <c r="C100" s="110">
        <v>39903</v>
      </c>
      <c r="D100" s="111">
        <f t="shared" si="19"/>
        <v>90</v>
      </c>
      <c r="E100" s="111">
        <v>4.5199999999999996</v>
      </c>
      <c r="F100" s="131">
        <f>F$68+G$93-SUM(H$90:H99)-SUM(I$90:I99)</f>
        <v>445465.43267931108</v>
      </c>
      <c r="G100" s="114">
        <f t="shared" ref="G100:G108" si="20">+D100/365*E100/100*F100</f>
        <v>4964.8037812039383</v>
      </c>
      <c r="H100" s="114">
        <f t="shared" si="16"/>
        <v>24143.9575</v>
      </c>
      <c r="I100" s="115">
        <f t="shared" si="17"/>
        <v>10122.614244562395</v>
      </c>
      <c r="J100" s="35"/>
    </row>
    <row r="101" spans="1:10" x14ac:dyDescent="0.2">
      <c r="A101" s="123" t="s">
        <v>109</v>
      </c>
      <c r="B101" s="110">
        <f t="shared" si="18"/>
        <v>39904</v>
      </c>
      <c r="C101" s="110">
        <v>39994</v>
      </c>
      <c r="D101" s="111">
        <f t="shared" si="19"/>
        <v>91</v>
      </c>
      <c r="E101" s="111">
        <v>3.37</v>
      </c>
      <c r="F101" s="131">
        <f>F$68+G$93-SUM(H$90:H100)-SUM(I$90:I100)</f>
        <v>411198.86093474872</v>
      </c>
      <c r="G101" s="114">
        <f t="shared" si="20"/>
        <v>3454.8590324071065</v>
      </c>
      <c r="H101" s="114">
        <f t="shared" si="16"/>
        <v>24143.9575</v>
      </c>
      <c r="I101" s="115">
        <f t="shared" si="17"/>
        <v>10122.614244562395</v>
      </c>
      <c r="J101" s="35"/>
    </row>
    <row r="102" spans="1:10" x14ac:dyDescent="0.2">
      <c r="A102" s="123" t="s">
        <v>111</v>
      </c>
      <c r="B102" s="110">
        <f t="shared" si="18"/>
        <v>39995</v>
      </c>
      <c r="C102" s="110">
        <v>40086</v>
      </c>
      <c r="D102" s="111">
        <f t="shared" si="19"/>
        <v>92</v>
      </c>
      <c r="E102" s="111">
        <v>3.25</v>
      </c>
      <c r="F102" s="131">
        <f>F$68+G$93-SUM(H$90:H101)-SUM(I$90:I101)</f>
        <v>376932.28919018636</v>
      </c>
      <c r="G102" s="114">
        <f t="shared" si="20"/>
        <v>3087.7466977497461</v>
      </c>
      <c r="H102" s="114">
        <f t="shared" si="16"/>
        <v>24143.9575</v>
      </c>
      <c r="I102" s="115">
        <f t="shared" si="17"/>
        <v>10122.614244562395</v>
      </c>
      <c r="J102" s="35"/>
    </row>
    <row r="103" spans="1:10" x14ac:dyDescent="0.2">
      <c r="A103" s="123" t="s">
        <v>101</v>
      </c>
      <c r="B103" s="110">
        <f t="shared" si="18"/>
        <v>40087</v>
      </c>
      <c r="C103" s="110">
        <v>40178</v>
      </c>
      <c r="D103" s="111">
        <f t="shared" si="19"/>
        <v>92</v>
      </c>
      <c r="E103" s="111">
        <v>3.25</v>
      </c>
      <c r="F103" s="131">
        <f>F$68+G$93-SUM(H$90:H102)-SUM(I$90:I102)</f>
        <v>342665.71744562394</v>
      </c>
      <c r="G103" s="114">
        <f t="shared" si="20"/>
        <v>2807.0424524997688</v>
      </c>
      <c r="H103" s="114">
        <f t="shared" si="16"/>
        <v>24143.9575</v>
      </c>
      <c r="I103" s="115">
        <f t="shared" si="17"/>
        <v>10122.614244562395</v>
      </c>
      <c r="J103" s="35"/>
    </row>
    <row r="104" spans="1:10" x14ac:dyDescent="0.2">
      <c r="A104" s="123" t="s">
        <v>112</v>
      </c>
      <c r="B104" s="110">
        <f t="shared" si="18"/>
        <v>40179</v>
      </c>
      <c r="C104" s="110">
        <v>40268</v>
      </c>
      <c r="D104" s="111">
        <f t="shared" si="19"/>
        <v>90</v>
      </c>
      <c r="E104" s="111">
        <v>3.25</v>
      </c>
      <c r="F104" s="131">
        <f>F$68+G$93-SUM(H$90:H103)-SUM(I$90:I103)</f>
        <v>308399.14570106153</v>
      </c>
      <c r="G104" s="114">
        <f t="shared" si="20"/>
        <v>2471.4178114400133</v>
      </c>
      <c r="H104" s="114">
        <f t="shared" si="16"/>
        <v>24143.9575</v>
      </c>
      <c r="I104" s="115">
        <f t="shared" si="17"/>
        <v>10122.614244562395</v>
      </c>
      <c r="J104" s="35"/>
    </row>
    <row r="105" spans="1:10" x14ac:dyDescent="0.2">
      <c r="A105" s="123" t="s">
        <v>113</v>
      </c>
      <c r="B105" s="110">
        <f t="shared" si="18"/>
        <v>40269</v>
      </c>
      <c r="C105" s="110">
        <v>40359</v>
      </c>
      <c r="D105" s="111">
        <f t="shared" si="19"/>
        <v>91</v>
      </c>
      <c r="E105" s="111">
        <v>3.25</v>
      </c>
      <c r="F105" s="131">
        <f>F$68+G$93-SUM(H$90:H104)-SUM(I$90:I104)</f>
        <v>274132.57395649911</v>
      </c>
      <c r="G105" s="114">
        <f t="shared" si="20"/>
        <v>2221.2248971954687</v>
      </c>
      <c r="H105" s="114">
        <f t="shared" si="16"/>
        <v>24143.9575</v>
      </c>
      <c r="I105" s="115">
        <f t="shared" si="17"/>
        <v>10122.614244562395</v>
      </c>
      <c r="J105" s="35"/>
    </row>
    <row r="106" spans="1:10" x14ac:dyDescent="0.2">
      <c r="A106" s="123" t="s">
        <v>114</v>
      </c>
      <c r="B106" s="110">
        <f t="shared" si="18"/>
        <v>40360</v>
      </c>
      <c r="C106" s="110">
        <v>40451</v>
      </c>
      <c r="D106" s="111">
        <f t="shared" si="19"/>
        <v>92</v>
      </c>
      <c r="E106" s="111">
        <v>3.25</v>
      </c>
      <c r="F106" s="131">
        <f>F$68+G$93-SUM(H$90:H105)-SUM(I$90:I105)</f>
        <v>239866.00221193672</v>
      </c>
      <c r="G106" s="114">
        <f t="shared" si="20"/>
        <v>1964.929716749838</v>
      </c>
      <c r="H106" s="114">
        <f t="shared" si="16"/>
        <v>24143.9575</v>
      </c>
      <c r="I106" s="115">
        <f t="shared" si="17"/>
        <v>10122.614244562395</v>
      </c>
      <c r="J106" s="35"/>
    </row>
    <row r="107" spans="1:10" x14ac:dyDescent="0.2">
      <c r="A107" s="123" t="s">
        <v>102</v>
      </c>
      <c r="B107" s="110">
        <f t="shared" si="18"/>
        <v>40452</v>
      </c>
      <c r="C107" s="110">
        <v>40543</v>
      </c>
      <c r="D107" s="111">
        <f t="shared" si="19"/>
        <v>92</v>
      </c>
      <c r="E107" s="111">
        <v>3.25</v>
      </c>
      <c r="F107" s="131">
        <f>F$68+G$93-SUM(H$90:H106)-SUM(I$90:I106)</f>
        <v>205599.4304673743</v>
      </c>
      <c r="G107" s="114">
        <f t="shared" si="20"/>
        <v>1684.225471499861</v>
      </c>
      <c r="H107" s="114">
        <f t="shared" si="16"/>
        <v>24143.9575</v>
      </c>
      <c r="I107" s="115">
        <f t="shared" si="17"/>
        <v>10122.614244562395</v>
      </c>
      <c r="J107" s="35"/>
    </row>
    <row r="108" spans="1:10" x14ac:dyDescent="0.2">
      <c r="A108" s="124" t="s">
        <v>115</v>
      </c>
      <c r="B108" s="125">
        <f t="shared" si="18"/>
        <v>40544</v>
      </c>
      <c r="C108" s="125">
        <v>40633</v>
      </c>
      <c r="D108" s="126">
        <f t="shared" si="19"/>
        <v>90</v>
      </c>
      <c r="E108" s="111">
        <v>3.25</v>
      </c>
      <c r="F108" s="133">
        <f>F$68+G$93-SUM(H$90:H107)-SUM(I$90:I107)</f>
        <v>171332.85872281188</v>
      </c>
      <c r="G108" s="127">
        <f t="shared" si="20"/>
        <v>1373.0098952444514</v>
      </c>
      <c r="H108" s="114">
        <f t="shared" si="16"/>
        <v>24143.9575</v>
      </c>
      <c r="I108" s="115">
        <f t="shared" si="17"/>
        <v>10122.614244562395</v>
      </c>
      <c r="J108" s="35"/>
    </row>
    <row r="109" spans="1:10" x14ac:dyDescent="0.2">
      <c r="A109" s="123" t="s">
        <v>116</v>
      </c>
      <c r="B109" s="110">
        <f>C108+1</f>
        <v>40634</v>
      </c>
      <c r="C109" s="110">
        <v>40724</v>
      </c>
      <c r="D109" s="111">
        <f>+C109-B109+1</f>
        <v>91</v>
      </c>
      <c r="E109" s="111">
        <v>3.25</v>
      </c>
      <c r="F109" s="131">
        <f>F$68+G$93-SUM(H$90:H108)-SUM(I$90:I108)</f>
        <v>137066.28697824947</v>
      </c>
      <c r="G109" s="114">
        <f>+D109/365*E109/100*F109</f>
        <v>1110.6124485977336</v>
      </c>
      <c r="H109" s="114">
        <f>F$68/20</f>
        <v>24143.9575</v>
      </c>
      <c r="I109" s="115">
        <f>G$93/20</f>
        <v>10122.614244562395</v>
      </c>
      <c r="J109" s="35"/>
    </row>
    <row r="110" spans="1:10" x14ac:dyDescent="0.2">
      <c r="A110" s="123" t="s">
        <v>117</v>
      </c>
      <c r="B110" s="110">
        <f>C109+1</f>
        <v>40725</v>
      </c>
      <c r="C110" s="110">
        <v>40816</v>
      </c>
      <c r="D110" s="111">
        <f>+C110-B110+1</f>
        <v>92</v>
      </c>
      <c r="E110" s="111">
        <v>3.25</v>
      </c>
      <c r="F110" s="131">
        <f>F$68+G$93-SUM(H$90:H109)-SUM(I$90:I109)</f>
        <v>102799.71523368705</v>
      </c>
      <c r="G110" s="114">
        <f>+D110/365*E110/100*F110</f>
        <v>842.11273574992958</v>
      </c>
      <c r="H110" s="114">
        <f>F$68/20</f>
        <v>24143.9575</v>
      </c>
      <c r="I110" s="115">
        <f>G$93/20</f>
        <v>10122.614244562395</v>
      </c>
      <c r="J110" s="35"/>
    </row>
    <row r="111" spans="1:10" x14ac:dyDescent="0.2">
      <c r="A111" s="123" t="s">
        <v>103</v>
      </c>
      <c r="B111" s="110">
        <f>C110+1</f>
        <v>40817</v>
      </c>
      <c r="C111" s="110">
        <v>40908</v>
      </c>
      <c r="D111" s="111">
        <f>+C111-B111+1</f>
        <v>92</v>
      </c>
      <c r="E111" s="111">
        <v>3.25</v>
      </c>
      <c r="F111" s="131">
        <f>F$68+G$93-SUM(H$90:H110)-SUM(I$90:I110)</f>
        <v>68533.143489124632</v>
      </c>
      <c r="G111" s="114">
        <f>+D111/365*E111/100*F111</f>
        <v>561.40849049995256</v>
      </c>
      <c r="H111" s="114">
        <f>F$68/20</f>
        <v>24143.9575</v>
      </c>
      <c r="I111" s="115">
        <f>G$93/20</f>
        <v>10122.614244562395</v>
      </c>
      <c r="J111" s="35"/>
    </row>
    <row r="112" spans="1:10" x14ac:dyDescent="0.2">
      <c r="A112" s="123" t="s">
        <v>110</v>
      </c>
      <c r="B112" s="110">
        <f>C111+1</f>
        <v>40909</v>
      </c>
      <c r="C112" s="110">
        <v>40999</v>
      </c>
      <c r="D112" s="111">
        <f>+C112-B112+1</f>
        <v>91</v>
      </c>
      <c r="E112" s="111">
        <v>3.25</v>
      </c>
      <c r="F112" s="131">
        <f>F$68+G$93-SUM(H$90:H111)-SUM(I$90:I111)</f>
        <v>34266.571744562214</v>
      </c>
      <c r="G112" s="114">
        <f>+D112/365*E112/100*F112</f>
        <v>277.65311214943216</v>
      </c>
      <c r="H112" s="114">
        <f>F$68/20</f>
        <v>24143.9575</v>
      </c>
      <c r="I112" s="115">
        <f>G$93/20</f>
        <v>10122.614244562395</v>
      </c>
      <c r="J112" s="35"/>
    </row>
    <row r="113" spans="1:10" x14ac:dyDescent="0.2">
      <c r="G113" s="55"/>
      <c r="H113" s="55"/>
      <c r="I113" s="55"/>
    </row>
    <row r="114" spans="1:10" x14ac:dyDescent="0.2">
      <c r="A114" s="387" t="s">
        <v>126</v>
      </c>
      <c r="B114" s="388"/>
      <c r="C114" s="388"/>
      <c r="D114" s="388"/>
      <c r="E114" s="388"/>
      <c r="F114" s="388"/>
      <c r="G114" s="388"/>
      <c r="H114" s="388"/>
      <c r="I114" s="388"/>
      <c r="J114" s="389"/>
    </row>
    <row r="115" spans="1:10" x14ac:dyDescent="0.2">
      <c r="A115" s="30" t="s">
        <v>10</v>
      </c>
      <c r="B115" s="30" t="s">
        <v>11</v>
      </c>
      <c r="C115" s="30" t="s">
        <v>12</v>
      </c>
      <c r="D115" s="30" t="s">
        <v>13</v>
      </c>
      <c r="E115" s="30" t="s">
        <v>14</v>
      </c>
      <c r="F115" s="30" t="s">
        <v>15</v>
      </c>
      <c r="G115" s="30" t="s">
        <v>16</v>
      </c>
      <c r="H115" s="30"/>
      <c r="I115" s="30"/>
      <c r="J115" s="30" t="s">
        <v>17</v>
      </c>
    </row>
    <row r="116" spans="1:10" ht="51" x14ac:dyDescent="0.2">
      <c r="A116" s="31" t="s">
        <v>18</v>
      </c>
      <c r="B116" s="31" t="s">
        <v>19</v>
      </c>
      <c r="C116" s="31" t="s">
        <v>20</v>
      </c>
      <c r="D116" s="31" t="s">
        <v>21</v>
      </c>
      <c r="E116" s="31" t="s">
        <v>22</v>
      </c>
      <c r="F116" s="31" t="s">
        <v>23</v>
      </c>
      <c r="G116" s="6" t="s">
        <v>130</v>
      </c>
      <c r="H116" s="6" t="s">
        <v>37</v>
      </c>
      <c r="I116" s="6" t="s">
        <v>131</v>
      </c>
      <c r="J116" s="31" t="s">
        <v>25</v>
      </c>
    </row>
    <row r="117" spans="1:10" x14ac:dyDescent="0.2">
      <c r="A117" s="102" t="s">
        <v>90</v>
      </c>
      <c r="B117" s="138">
        <f>B4</f>
        <v>36945</v>
      </c>
      <c r="C117" s="138">
        <v>37072</v>
      </c>
      <c r="D117" s="104">
        <f t="shared" ref="D117:D128" si="21">+C117-B117+1</f>
        <v>128</v>
      </c>
      <c r="E117" s="149">
        <v>9.02</v>
      </c>
      <c r="F117" s="150">
        <f>E4</f>
        <v>0</v>
      </c>
      <c r="G117" s="151">
        <f t="shared" ref="G117:G124" si="22">+D117/365*E117/100*F117</f>
        <v>0</v>
      </c>
      <c r="H117" s="151"/>
      <c r="I117" s="152"/>
      <c r="J117" s="159">
        <f>+F117+G117</f>
        <v>0</v>
      </c>
    </row>
    <row r="118" spans="1:10" x14ac:dyDescent="0.2">
      <c r="A118" s="109" t="s">
        <v>91</v>
      </c>
      <c r="B118" s="139">
        <f t="shared" ref="B118:B138" si="23">C117+1</f>
        <v>37073</v>
      </c>
      <c r="C118" s="139">
        <v>37164</v>
      </c>
      <c r="D118" s="111">
        <f t="shared" si="21"/>
        <v>92</v>
      </c>
      <c r="E118" s="140">
        <v>7.79</v>
      </c>
      <c r="F118" s="153">
        <f>J117</f>
        <v>0</v>
      </c>
      <c r="G118" s="154">
        <f t="shared" si="22"/>
        <v>0</v>
      </c>
      <c r="H118" s="154"/>
      <c r="I118" s="155"/>
      <c r="J118" s="143">
        <f t="shared" ref="J118:J140" si="24">+F118+G118</f>
        <v>0</v>
      </c>
    </row>
    <row r="119" spans="1:10" x14ac:dyDescent="0.2">
      <c r="A119" s="109" t="s">
        <v>92</v>
      </c>
      <c r="B119" s="139">
        <f t="shared" si="23"/>
        <v>37165</v>
      </c>
      <c r="C119" s="139">
        <v>37256</v>
      </c>
      <c r="D119" s="111">
        <f t="shared" si="21"/>
        <v>92</v>
      </c>
      <c r="E119" s="140">
        <v>6.8</v>
      </c>
      <c r="F119" s="153">
        <f t="shared" ref="F119:F138" si="25">J118</f>
        <v>0</v>
      </c>
      <c r="G119" s="154">
        <f t="shared" si="22"/>
        <v>0</v>
      </c>
      <c r="H119" s="154"/>
      <c r="I119" s="155"/>
      <c r="J119" s="143">
        <f t="shared" si="24"/>
        <v>0</v>
      </c>
    </row>
    <row r="120" spans="1:10" x14ac:dyDescent="0.2">
      <c r="A120" s="109" t="s">
        <v>93</v>
      </c>
      <c r="B120" s="139">
        <f t="shared" si="23"/>
        <v>37257</v>
      </c>
      <c r="C120" s="139">
        <v>37346</v>
      </c>
      <c r="D120" s="111">
        <f t="shared" si="21"/>
        <v>90</v>
      </c>
      <c r="E120" s="140">
        <v>5.64</v>
      </c>
      <c r="F120" s="153">
        <f t="shared" si="25"/>
        <v>0</v>
      </c>
      <c r="G120" s="154">
        <f t="shared" si="22"/>
        <v>0</v>
      </c>
      <c r="H120" s="154"/>
      <c r="I120" s="155"/>
      <c r="J120" s="143">
        <f t="shared" si="24"/>
        <v>0</v>
      </c>
    </row>
    <row r="121" spans="1:10" x14ac:dyDescent="0.2">
      <c r="A121" s="109" t="s">
        <v>94</v>
      </c>
      <c r="B121" s="139">
        <f t="shared" si="23"/>
        <v>37347</v>
      </c>
      <c r="C121" s="139">
        <v>37437</v>
      </c>
      <c r="D121" s="111">
        <f t="shared" si="21"/>
        <v>91</v>
      </c>
      <c r="E121" s="140">
        <v>4.78</v>
      </c>
      <c r="F121" s="153">
        <f t="shared" si="25"/>
        <v>0</v>
      </c>
      <c r="G121" s="154">
        <f t="shared" si="22"/>
        <v>0</v>
      </c>
      <c r="H121" s="154"/>
      <c r="I121" s="155"/>
      <c r="J121" s="143">
        <f t="shared" si="24"/>
        <v>0</v>
      </c>
    </row>
    <row r="122" spans="1:10" x14ac:dyDescent="0.2">
      <c r="A122" s="109" t="s">
        <v>73</v>
      </c>
      <c r="B122" s="139">
        <f t="shared" si="23"/>
        <v>37438</v>
      </c>
      <c r="C122" s="139">
        <v>37529</v>
      </c>
      <c r="D122" s="111">
        <f t="shared" si="21"/>
        <v>92</v>
      </c>
      <c r="E122" s="140">
        <v>4.75</v>
      </c>
      <c r="F122" s="153">
        <f t="shared" si="25"/>
        <v>0</v>
      </c>
      <c r="G122" s="154">
        <f t="shared" si="22"/>
        <v>0</v>
      </c>
      <c r="H122" s="154"/>
      <c r="I122" s="155"/>
      <c r="J122" s="143">
        <f t="shared" si="24"/>
        <v>0</v>
      </c>
    </row>
    <row r="123" spans="1:10" x14ac:dyDescent="0.2">
      <c r="A123" s="109" t="s">
        <v>60</v>
      </c>
      <c r="B123" s="139">
        <f t="shared" si="23"/>
        <v>37530</v>
      </c>
      <c r="C123" s="139">
        <v>37621</v>
      </c>
      <c r="D123" s="111">
        <f t="shared" si="21"/>
        <v>92</v>
      </c>
      <c r="E123" s="140">
        <v>4.75</v>
      </c>
      <c r="F123" s="153">
        <f t="shared" si="25"/>
        <v>0</v>
      </c>
      <c r="G123" s="154">
        <f t="shared" si="22"/>
        <v>0</v>
      </c>
      <c r="H123" s="154"/>
      <c r="I123" s="155"/>
      <c r="J123" s="143">
        <f t="shared" si="24"/>
        <v>0</v>
      </c>
    </row>
    <row r="124" spans="1:10" x14ac:dyDescent="0.2">
      <c r="A124" s="109" t="s">
        <v>74</v>
      </c>
      <c r="B124" s="139">
        <f t="shared" si="23"/>
        <v>37622</v>
      </c>
      <c r="C124" s="139">
        <v>37711</v>
      </c>
      <c r="D124" s="111">
        <f t="shared" si="21"/>
        <v>90</v>
      </c>
      <c r="E124" s="140">
        <v>4.62</v>
      </c>
      <c r="F124" s="153">
        <f t="shared" si="25"/>
        <v>0</v>
      </c>
      <c r="G124" s="154">
        <f t="shared" si="22"/>
        <v>0</v>
      </c>
      <c r="H124" s="154"/>
      <c r="I124" s="155"/>
      <c r="J124" s="143">
        <f t="shared" si="24"/>
        <v>0</v>
      </c>
    </row>
    <row r="125" spans="1:10" x14ac:dyDescent="0.2">
      <c r="A125" s="109" t="s">
        <v>61</v>
      </c>
      <c r="B125" s="139">
        <f t="shared" si="23"/>
        <v>37712</v>
      </c>
      <c r="C125" s="110">
        <v>37802</v>
      </c>
      <c r="D125" s="111">
        <f t="shared" si="21"/>
        <v>91</v>
      </c>
      <c r="E125" s="112">
        <v>4.25</v>
      </c>
      <c r="F125" s="153">
        <f t="shared" si="25"/>
        <v>0</v>
      </c>
      <c r="G125" s="154">
        <f>+D125/365*E125/100*F125</f>
        <v>0</v>
      </c>
      <c r="H125" s="154"/>
      <c r="I125" s="155"/>
      <c r="J125" s="143">
        <f t="shared" si="24"/>
        <v>0</v>
      </c>
    </row>
    <row r="126" spans="1:10" x14ac:dyDescent="0.2">
      <c r="A126" s="109" t="s">
        <v>62</v>
      </c>
      <c r="B126" s="139">
        <f t="shared" si="23"/>
        <v>37803</v>
      </c>
      <c r="C126" s="110">
        <v>37894</v>
      </c>
      <c r="D126" s="111">
        <f t="shared" si="21"/>
        <v>92</v>
      </c>
      <c r="E126" s="112">
        <v>4.25</v>
      </c>
      <c r="F126" s="153">
        <f t="shared" si="25"/>
        <v>0</v>
      </c>
      <c r="G126" s="154">
        <f>+D126/365*E126/100*F126</f>
        <v>0</v>
      </c>
      <c r="H126" s="154"/>
      <c r="I126" s="155"/>
      <c r="J126" s="143">
        <f t="shared" si="24"/>
        <v>0</v>
      </c>
    </row>
    <row r="127" spans="1:10" x14ac:dyDescent="0.2">
      <c r="A127" s="109" t="s">
        <v>75</v>
      </c>
      <c r="B127" s="139">
        <f t="shared" si="23"/>
        <v>37895</v>
      </c>
      <c r="C127" s="110">
        <v>37986</v>
      </c>
      <c r="D127" s="111">
        <f t="shared" si="21"/>
        <v>92</v>
      </c>
      <c r="E127" s="112">
        <v>4.07</v>
      </c>
      <c r="F127" s="153">
        <f t="shared" si="25"/>
        <v>0</v>
      </c>
      <c r="G127" s="154">
        <f>+D127/365*E127/100*F127</f>
        <v>0</v>
      </c>
      <c r="H127" s="154"/>
      <c r="I127" s="155"/>
      <c r="J127" s="143">
        <f t="shared" si="24"/>
        <v>0</v>
      </c>
    </row>
    <row r="128" spans="1:10" x14ac:dyDescent="0.2">
      <c r="A128" s="109" t="s">
        <v>72</v>
      </c>
      <c r="B128" s="139">
        <f t="shared" si="23"/>
        <v>37987</v>
      </c>
      <c r="C128" s="110">
        <v>38077</v>
      </c>
      <c r="D128" s="111">
        <f t="shared" si="21"/>
        <v>91</v>
      </c>
      <c r="E128" s="112">
        <v>4</v>
      </c>
      <c r="F128" s="153">
        <f t="shared" si="25"/>
        <v>0</v>
      </c>
      <c r="G128" s="154">
        <f>+D128/366*E128/100*F128</f>
        <v>0</v>
      </c>
      <c r="H128" s="154"/>
      <c r="I128" s="155"/>
      <c r="J128" s="143">
        <f t="shared" si="24"/>
        <v>0</v>
      </c>
    </row>
    <row r="129" spans="1:10" x14ac:dyDescent="0.2">
      <c r="A129" s="109" t="s">
        <v>63</v>
      </c>
      <c r="B129" s="139">
        <f t="shared" si="23"/>
        <v>38078</v>
      </c>
      <c r="C129" s="110">
        <v>38168</v>
      </c>
      <c r="D129" s="111">
        <f>+C129-B129+1</f>
        <v>91</v>
      </c>
      <c r="E129" s="112">
        <v>4</v>
      </c>
      <c r="F129" s="153">
        <f t="shared" si="25"/>
        <v>0</v>
      </c>
      <c r="G129" s="154">
        <f>+D129/366*E129/100*F129</f>
        <v>0</v>
      </c>
      <c r="H129" s="154"/>
      <c r="I129" s="155"/>
      <c r="J129" s="143">
        <f t="shared" si="24"/>
        <v>0</v>
      </c>
    </row>
    <row r="130" spans="1:10" x14ac:dyDescent="0.2">
      <c r="A130" s="109" t="s">
        <v>64</v>
      </c>
      <c r="B130" s="139">
        <f t="shared" si="23"/>
        <v>38169</v>
      </c>
      <c r="C130" s="110">
        <v>38260</v>
      </c>
      <c r="D130" s="111">
        <f t="shared" ref="D130:D135" si="26">+C130-B130+1</f>
        <v>92</v>
      </c>
      <c r="E130" s="112">
        <v>4</v>
      </c>
      <c r="F130" s="153">
        <f t="shared" si="25"/>
        <v>0</v>
      </c>
      <c r="G130" s="154">
        <f>+D130/366*E130/100*F130</f>
        <v>0</v>
      </c>
      <c r="H130" s="154"/>
      <c r="I130" s="155"/>
      <c r="J130" s="143">
        <f t="shared" si="24"/>
        <v>0</v>
      </c>
    </row>
    <row r="131" spans="1:10" x14ac:dyDescent="0.2">
      <c r="A131" s="109" t="s">
        <v>32</v>
      </c>
      <c r="B131" s="139">
        <f t="shared" si="23"/>
        <v>38261</v>
      </c>
      <c r="C131" s="110">
        <v>38352</v>
      </c>
      <c r="D131" s="111">
        <f t="shared" si="26"/>
        <v>92</v>
      </c>
      <c r="E131" s="112">
        <v>4.22</v>
      </c>
      <c r="F131" s="153">
        <f t="shared" si="25"/>
        <v>0</v>
      </c>
      <c r="G131" s="154">
        <f>+D131/366*E131/100*F131</f>
        <v>0</v>
      </c>
      <c r="H131" s="154"/>
      <c r="I131" s="155"/>
      <c r="J131" s="143">
        <f t="shared" si="24"/>
        <v>0</v>
      </c>
    </row>
    <row r="132" spans="1:10" x14ac:dyDescent="0.2">
      <c r="A132" s="109" t="s">
        <v>33</v>
      </c>
      <c r="B132" s="139">
        <f t="shared" si="23"/>
        <v>38353</v>
      </c>
      <c r="C132" s="110">
        <v>38442</v>
      </c>
      <c r="D132" s="111">
        <f t="shared" si="26"/>
        <v>90</v>
      </c>
      <c r="E132" s="112">
        <v>4.75</v>
      </c>
      <c r="F132" s="153">
        <f t="shared" si="25"/>
        <v>0</v>
      </c>
      <c r="G132" s="154">
        <f t="shared" ref="G132:G138" si="27">+D132/365*E132/100*F132</f>
        <v>0</v>
      </c>
      <c r="H132" s="154"/>
      <c r="I132" s="155"/>
      <c r="J132" s="143">
        <f t="shared" si="24"/>
        <v>0</v>
      </c>
    </row>
    <row r="133" spans="1:10" x14ac:dyDescent="0.2">
      <c r="A133" s="109" t="s">
        <v>34</v>
      </c>
      <c r="B133" s="139">
        <f t="shared" si="23"/>
        <v>38443</v>
      </c>
      <c r="C133" s="110">
        <v>38533</v>
      </c>
      <c r="D133" s="111">
        <f t="shared" si="26"/>
        <v>91</v>
      </c>
      <c r="E133" s="112">
        <v>5.3</v>
      </c>
      <c r="F133" s="153">
        <f t="shared" si="25"/>
        <v>0</v>
      </c>
      <c r="G133" s="154">
        <f t="shared" si="27"/>
        <v>0</v>
      </c>
      <c r="H133" s="154"/>
      <c r="I133" s="155"/>
      <c r="J133" s="143">
        <f t="shared" si="24"/>
        <v>0</v>
      </c>
    </row>
    <row r="134" spans="1:10" x14ac:dyDescent="0.2">
      <c r="A134" s="109" t="s">
        <v>35</v>
      </c>
      <c r="B134" s="139">
        <f t="shared" si="23"/>
        <v>38534</v>
      </c>
      <c r="C134" s="110">
        <v>38625</v>
      </c>
      <c r="D134" s="111">
        <f t="shared" si="26"/>
        <v>92</v>
      </c>
      <c r="E134" s="112">
        <v>5.77</v>
      </c>
      <c r="F134" s="153">
        <f t="shared" si="25"/>
        <v>0</v>
      </c>
      <c r="G134" s="154">
        <f t="shared" si="27"/>
        <v>0</v>
      </c>
      <c r="H134" s="154"/>
      <c r="I134" s="155"/>
      <c r="J134" s="143">
        <f t="shared" si="24"/>
        <v>0</v>
      </c>
    </row>
    <row r="135" spans="1:10" x14ac:dyDescent="0.2">
      <c r="A135" s="109" t="s">
        <v>36</v>
      </c>
      <c r="B135" s="139">
        <f t="shared" si="23"/>
        <v>38626</v>
      </c>
      <c r="C135" s="110">
        <v>38717</v>
      </c>
      <c r="D135" s="111">
        <f t="shared" si="26"/>
        <v>92</v>
      </c>
      <c r="E135" s="112">
        <v>6.23</v>
      </c>
      <c r="F135" s="153">
        <f t="shared" si="25"/>
        <v>0</v>
      </c>
      <c r="G135" s="154">
        <f t="shared" si="27"/>
        <v>0</v>
      </c>
      <c r="H135" s="154"/>
      <c r="I135" s="155"/>
      <c r="J135" s="143">
        <f t="shared" si="24"/>
        <v>0</v>
      </c>
    </row>
    <row r="136" spans="1:10" x14ac:dyDescent="0.2">
      <c r="A136" s="109" t="s">
        <v>76</v>
      </c>
      <c r="B136" s="139">
        <f t="shared" si="23"/>
        <v>38718</v>
      </c>
      <c r="C136" s="110">
        <v>38807</v>
      </c>
      <c r="D136" s="111">
        <f>+C136-B136+1</f>
        <v>90</v>
      </c>
      <c r="E136" s="112">
        <v>6.78</v>
      </c>
      <c r="F136" s="153">
        <f t="shared" si="25"/>
        <v>0</v>
      </c>
      <c r="G136" s="154">
        <f t="shared" si="27"/>
        <v>0</v>
      </c>
      <c r="H136" s="154"/>
      <c r="I136" s="155"/>
      <c r="J136" s="143">
        <f t="shared" si="24"/>
        <v>0</v>
      </c>
    </row>
    <row r="137" spans="1:10" x14ac:dyDescent="0.2">
      <c r="A137" s="109" t="s">
        <v>77</v>
      </c>
      <c r="B137" s="139">
        <f t="shared" si="23"/>
        <v>38808</v>
      </c>
      <c r="C137" s="110">
        <v>38898</v>
      </c>
      <c r="D137" s="111">
        <f>+C137-B137+1</f>
        <v>91</v>
      </c>
      <c r="E137" s="112">
        <v>7.3</v>
      </c>
      <c r="F137" s="153">
        <f t="shared" si="25"/>
        <v>0</v>
      </c>
      <c r="G137" s="154">
        <f t="shared" si="27"/>
        <v>0</v>
      </c>
      <c r="H137" s="154"/>
      <c r="I137" s="155"/>
      <c r="J137" s="143">
        <f t="shared" si="24"/>
        <v>0</v>
      </c>
    </row>
    <row r="138" spans="1:10" x14ac:dyDescent="0.2">
      <c r="A138" s="109" t="s">
        <v>78</v>
      </c>
      <c r="B138" s="139">
        <f t="shared" si="23"/>
        <v>38899</v>
      </c>
      <c r="C138" s="110">
        <v>38990</v>
      </c>
      <c r="D138" s="111">
        <f>+C138-B138+1</f>
        <v>92</v>
      </c>
      <c r="E138" s="112">
        <v>7.74</v>
      </c>
      <c r="F138" s="153">
        <f t="shared" si="25"/>
        <v>0</v>
      </c>
      <c r="G138" s="154">
        <f t="shared" si="27"/>
        <v>0</v>
      </c>
      <c r="H138" s="119"/>
      <c r="I138" s="141"/>
      <c r="J138" s="143">
        <f t="shared" si="24"/>
        <v>0</v>
      </c>
    </row>
    <row r="139" spans="1:10" x14ac:dyDescent="0.2">
      <c r="A139" s="109" t="s">
        <v>79</v>
      </c>
      <c r="B139" s="139">
        <f>C138+1</f>
        <v>38991</v>
      </c>
      <c r="C139" s="110">
        <v>39082</v>
      </c>
      <c r="D139" s="111">
        <f>+C139-B139+1</f>
        <v>92</v>
      </c>
      <c r="E139" s="112">
        <v>8.17</v>
      </c>
      <c r="F139" s="153">
        <f>J138</f>
        <v>0</v>
      </c>
      <c r="G139" s="154">
        <f>+D139/365*E139/100*F139</f>
        <v>0</v>
      </c>
      <c r="H139" s="114"/>
      <c r="I139" s="115"/>
      <c r="J139" s="143">
        <f t="shared" si="24"/>
        <v>0</v>
      </c>
    </row>
    <row r="140" spans="1:10" x14ac:dyDescent="0.2">
      <c r="A140" s="109" t="s">
        <v>80</v>
      </c>
      <c r="B140" s="139">
        <f>C139+1</f>
        <v>39083</v>
      </c>
      <c r="C140" s="110">
        <v>39172</v>
      </c>
      <c r="D140" s="111">
        <f>+C140-B140+1</f>
        <v>90</v>
      </c>
      <c r="E140" s="112">
        <v>8.25</v>
      </c>
      <c r="F140" s="153">
        <f>J139</f>
        <v>0</v>
      </c>
      <c r="G140" s="154">
        <f>+D140/365*E140/100*F140</f>
        <v>0</v>
      </c>
      <c r="H140" s="114">
        <f>F$117/20*5</f>
        <v>0</v>
      </c>
      <c r="I140" s="115">
        <f>G$141/20*5</f>
        <v>0</v>
      </c>
      <c r="J140" s="143">
        <f t="shared" si="24"/>
        <v>0</v>
      </c>
    </row>
    <row r="141" spans="1:10" x14ac:dyDescent="0.2">
      <c r="A141" s="117"/>
      <c r="B141" s="118"/>
      <c r="C141" s="118"/>
      <c r="D141" s="247"/>
      <c r="E141" s="390" t="s">
        <v>132</v>
      </c>
      <c r="F141" s="391"/>
      <c r="G141" s="120">
        <f>SUM(G117:G140)</f>
        <v>0</v>
      </c>
      <c r="H141" s="147"/>
      <c r="I141" s="248"/>
      <c r="J141" s="148"/>
    </row>
    <row r="142" spans="1:10" x14ac:dyDescent="0.2">
      <c r="A142" s="109" t="s">
        <v>81</v>
      </c>
      <c r="B142" s="110">
        <f>C140+1</f>
        <v>39173</v>
      </c>
      <c r="C142" s="110">
        <v>39263</v>
      </c>
      <c r="D142" s="111">
        <f>+C142-B142+1</f>
        <v>91</v>
      </c>
      <c r="E142" s="111">
        <v>8.25</v>
      </c>
      <c r="F142" s="131">
        <f>F$117+G$141-SUM(H$139:H141)-SUM(I$139:I141)</f>
        <v>0</v>
      </c>
      <c r="G142" s="114">
        <f>+D142/365*E142/100*F142</f>
        <v>0</v>
      </c>
      <c r="H142" s="114">
        <f t="shared" ref="H142:H156" si="28">F$117/20</f>
        <v>0</v>
      </c>
      <c r="I142" s="116">
        <f t="shared" ref="I142:I156" si="29">G$141/20</f>
        <v>0</v>
      </c>
      <c r="J142" s="137"/>
    </row>
    <row r="143" spans="1:10" x14ac:dyDescent="0.2">
      <c r="A143" s="109" t="s">
        <v>82</v>
      </c>
      <c r="B143" s="110">
        <f>C142+1</f>
        <v>39264</v>
      </c>
      <c r="C143" s="110">
        <v>39355</v>
      </c>
      <c r="D143" s="111">
        <f>+C143-B143+1</f>
        <v>92</v>
      </c>
      <c r="E143" s="111">
        <v>8.25</v>
      </c>
      <c r="F143" s="131">
        <f>F$117+G$141-SUM(H$139:H142)-SUM(I$139:I142)</f>
        <v>0</v>
      </c>
      <c r="G143" s="114">
        <f>+D143/365*E143/100*F143</f>
        <v>0</v>
      </c>
      <c r="H143" s="114">
        <f t="shared" si="28"/>
        <v>0</v>
      </c>
      <c r="I143" s="116">
        <f t="shared" si="29"/>
        <v>0</v>
      </c>
      <c r="J143" s="137"/>
    </row>
    <row r="144" spans="1:10" x14ac:dyDescent="0.2">
      <c r="A144" s="123" t="s">
        <v>83</v>
      </c>
      <c r="B144" s="110">
        <f>C143+1</f>
        <v>39356</v>
      </c>
      <c r="C144" s="110">
        <v>39447</v>
      </c>
      <c r="D144" s="111">
        <f>+C144-B144+1</f>
        <v>92</v>
      </c>
      <c r="E144" s="111">
        <v>8.25</v>
      </c>
      <c r="F144" s="131">
        <f>F$117+G$141-SUM(H$139:H143)-SUM(I$139:I143)</f>
        <v>0</v>
      </c>
      <c r="G144" s="114">
        <f>+D144/365*E144/100*F144</f>
        <v>0</v>
      </c>
      <c r="H144" s="114">
        <f t="shared" si="28"/>
        <v>0</v>
      </c>
      <c r="I144" s="116">
        <f t="shared" si="29"/>
        <v>0</v>
      </c>
      <c r="J144" s="137"/>
    </row>
    <row r="145" spans="1:9" x14ac:dyDescent="0.2">
      <c r="A145" s="123" t="s">
        <v>105</v>
      </c>
      <c r="B145" s="110">
        <f t="shared" ref="B145:B157" si="30">C144+1</f>
        <v>39448</v>
      </c>
      <c r="C145" s="110">
        <v>39538</v>
      </c>
      <c r="D145" s="111">
        <f t="shared" ref="D145:D157" si="31">+C145-B145+1</f>
        <v>91</v>
      </c>
      <c r="E145" s="111">
        <v>8.1300000000000008</v>
      </c>
      <c r="F145" s="131">
        <f>F$117+G$141-SUM(H$139:H144)-SUM(I$139:I144)</f>
        <v>0</v>
      </c>
      <c r="G145" s="114">
        <f>+D145/366*E145/100*F145</f>
        <v>0</v>
      </c>
      <c r="H145" s="114">
        <f t="shared" si="28"/>
        <v>0</v>
      </c>
      <c r="I145" s="115">
        <f t="shared" si="29"/>
        <v>0</v>
      </c>
    </row>
    <row r="146" spans="1:9" x14ac:dyDescent="0.2">
      <c r="A146" s="123" t="s">
        <v>106</v>
      </c>
      <c r="B146" s="110">
        <f t="shared" si="30"/>
        <v>39539</v>
      </c>
      <c r="C146" s="110">
        <v>39629</v>
      </c>
      <c r="D146" s="111">
        <f t="shared" si="31"/>
        <v>91</v>
      </c>
      <c r="E146" s="111">
        <v>8.1300000000000008</v>
      </c>
      <c r="F146" s="131">
        <f>F$117+G$141-SUM(H$139:H145)-SUM(I$139:I145)</f>
        <v>0</v>
      </c>
      <c r="G146" s="114">
        <f>+D146/366*E146/100*F146</f>
        <v>0</v>
      </c>
      <c r="H146" s="114">
        <f t="shared" si="28"/>
        <v>0</v>
      </c>
      <c r="I146" s="115">
        <f t="shared" si="29"/>
        <v>0</v>
      </c>
    </row>
    <row r="147" spans="1:9" x14ac:dyDescent="0.2">
      <c r="A147" s="123" t="s">
        <v>107</v>
      </c>
      <c r="B147" s="110">
        <f t="shared" si="30"/>
        <v>39630</v>
      </c>
      <c r="C147" s="110">
        <v>39721</v>
      </c>
      <c r="D147" s="111">
        <f t="shared" si="31"/>
        <v>92</v>
      </c>
      <c r="E147" s="111">
        <v>8.1300000000000008</v>
      </c>
      <c r="F147" s="131">
        <f>F$117+G$141-SUM(H$139:H146)-SUM(I$139:I146)</f>
        <v>0</v>
      </c>
      <c r="G147" s="114">
        <f>+D147/366*E147/100*F147</f>
        <v>0</v>
      </c>
      <c r="H147" s="114">
        <f t="shared" si="28"/>
        <v>0</v>
      </c>
      <c r="I147" s="115">
        <f t="shared" si="29"/>
        <v>0</v>
      </c>
    </row>
    <row r="148" spans="1:9" x14ac:dyDescent="0.2">
      <c r="A148" s="123" t="s">
        <v>100</v>
      </c>
      <c r="B148" s="110">
        <f t="shared" si="30"/>
        <v>39722</v>
      </c>
      <c r="C148" s="110">
        <v>39813</v>
      </c>
      <c r="D148" s="111">
        <f t="shared" si="31"/>
        <v>92</v>
      </c>
      <c r="E148" s="111">
        <v>8.1300000000000008</v>
      </c>
      <c r="F148" s="131">
        <f>F$117+G$141-SUM(H$139:H147)-SUM(I$139:I147)</f>
        <v>0</v>
      </c>
      <c r="G148" s="114">
        <f>+D148/366*E148/100*F148</f>
        <v>0</v>
      </c>
      <c r="H148" s="114">
        <f t="shared" si="28"/>
        <v>0</v>
      </c>
      <c r="I148" s="115">
        <f t="shared" si="29"/>
        <v>0</v>
      </c>
    </row>
    <row r="149" spans="1:9" ht="13.5" customHeight="1" x14ac:dyDescent="0.2">
      <c r="A149" s="123" t="s">
        <v>108</v>
      </c>
      <c r="B149" s="110">
        <f t="shared" si="30"/>
        <v>39814</v>
      </c>
      <c r="C149" s="110">
        <v>39903</v>
      </c>
      <c r="D149" s="111">
        <f t="shared" si="31"/>
        <v>90</v>
      </c>
      <c r="E149" s="111">
        <v>8.1300000000000008</v>
      </c>
      <c r="F149" s="131">
        <f>F$117+G$141-SUM(H$139:H148)-SUM(I$139:I148)</f>
        <v>0</v>
      </c>
      <c r="G149" s="114">
        <f t="shared" ref="G149:G157" si="32">+D149/365*E149/100*F149</f>
        <v>0</v>
      </c>
      <c r="H149" s="114">
        <f t="shared" si="28"/>
        <v>0</v>
      </c>
      <c r="I149" s="115">
        <f t="shared" si="29"/>
        <v>0</v>
      </c>
    </row>
    <row r="150" spans="1:9" x14ac:dyDescent="0.2">
      <c r="A150" s="123" t="s">
        <v>109</v>
      </c>
      <c r="B150" s="110">
        <f t="shared" si="30"/>
        <v>39904</v>
      </c>
      <c r="C150" s="110">
        <v>39994</v>
      </c>
      <c r="D150" s="111">
        <f t="shared" si="31"/>
        <v>91</v>
      </c>
      <c r="E150" s="111">
        <v>8.1300000000000008</v>
      </c>
      <c r="F150" s="131">
        <f>F$117+G$141-SUM(H$139:H149)-SUM(I$139:I149)</f>
        <v>0</v>
      </c>
      <c r="G150" s="114">
        <f t="shared" si="32"/>
        <v>0</v>
      </c>
      <c r="H150" s="114">
        <f t="shared" si="28"/>
        <v>0</v>
      </c>
      <c r="I150" s="115">
        <f t="shared" si="29"/>
        <v>0</v>
      </c>
    </row>
    <row r="151" spans="1:9" x14ac:dyDescent="0.2">
      <c r="A151" s="123" t="s">
        <v>111</v>
      </c>
      <c r="B151" s="110">
        <f t="shared" si="30"/>
        <v>39995</v>
      </c>
      <c r="C151" s="110">
        <v>40086</v>
      </c>
      <c r="D151" s="111">
        <f t="shared" si="31"/>
        <v>92</v>
      </c>
      <c r="E151" s="111">
        <v>8.1300000000000008</v>
      </c>
      <c r="F151" s="131">
        <f>F$117+G$141-SUM(H$139:H150)-SUM(I$139:I150)</f>
        <v>0</v>
      </c>
      <c r="G151" s="114">
        <f t="shared" si="32"/>
        <v>0</v>
      </c>
      <c r="H151" s="114">
        <f t="shared" si="28"/>
        <v>0</v>
      </c>
      <c r="I151" s="115">
        <f t="shared" si="29"/>
        <v>0</v>
      </c>
    </row>
    <row r="152" spans="1:9" x14ac:dyDescent="0.2">
      <c r="A152" s="123" t="s">
        <v>101</v>
      </c>
      <c r="B152" s="110">
        <f t="shared" si="30"/>
        <v>40087</v>
      </c>
      <c r="C152" s="110">
        <v>40178</v>
      </c>
      <c r="D152" s="111">
        <f t="shared" si="31"/>
        <v>92</v>
      </c>
      <c r="E152" s="111">
        <v>8.1300000000000008</v>
      </c>
      <c r="F152" s="131">
        <f>F$117+G$141-SUM(H$139:H151)-SUM(I$139:I151)</f>
        <v>0</v>
      </c>
      <c r="G152" s="114">
        <f t="shared" si="32"/>
        <v>0</v>
      </c>
      <c r="H152" s="114">
        <f t="shared" si="28"/>
        <v>0</v>
      </c>
      <c r="I152" s="115">
        <f t="shared" si="29"/>
        <v>0</v>
      </c>
    </row>
    <row r="153" spans="1:9" x14ac:dyDescent="0.2">
      <c r="A153" s="123" t="s">
        <v>112</v>
      </c>
      <c r="B153" s="110">
        <f t="shared" si="30"/>
        <v>40179</v>
      </c>
      <c r="C153" s="110">
        <v>40268</v>
      </c>
      <c r="D153" s="111">
        <f t="shared" si="31"/>
        <v>90</v>
      </c>
      <c r="E153" s="111">
        <v>8.1300000000000008</v>
      </c>
      <c r="F153" s="131">
        <f>F$117+G$141-SUM(H$139:H152)-SUM(I$139:I152)</f>
        <v>0</v>
      </c>
      <c r="G153" s="114">
        <f t="shared" si="32"/>
        <v>0</v>
      </c>
      <c r="H153" s="114">
        <f t="shared" si="28"/>
        <v>0</v>
      </c>
      <c r="I153" s="115">
        <f t="shared" si="29"/>
        <v>0</v>
      </c>
    </row>
    <row r="154" spans="1:9" x14ac:dyDescent="0.2">
      <c r="A154" s="123" t="s">
        <v>113</v>
      </c>
      <c r="B154" s="110">
        <f t="shared" si="30"/>
        <v>40269</v>
      </c>
      <c r="C154" s="110">
        <v>40359</v>
      </c>
      <c r="D154" s="111">
        <f t="shared" si="31"/>
        <v>91</v>
      </c>
      <c r="E154" s="111">
        <v>8.1300000000000008</v>
      </c>
      <c r="F154" s="131">
        <f>F$117+G$141-SUM(H$139:H153)-SUM(I$139:I153)</f>
        <v>0</v>
      </c>
      <c r="G154" s="114">
        <f t="shared" si="32"/>
        <v>0</v>
      </c>
      <c r="H154" s="114">
        <f t="shared" si="28"/>
        <v>0</v>
      </c>
      <c r="I154" s="115">
        <f t="shared" si="29"/>
        <v>0</v>
      </c>
    </row>
    <row r="155" spans="1:9" x14ac:dyDescent="0.2">
      <c r="A155" s="123" t="s">
        <v>114</v>
      </c>
      <c r="B155" s="110">
        <f t="shared" si="30"/>
        <v>40360</v>
      </c>
      <c r="C155" s="110">
        <v>40451</v>
      </c>
      <c r="D155" s="111">
        <f t="shared" si="31"/>
        <v>92</v>
      </c>
      <c r="E155" s="111">
        <v>8.1300000000000008</v>
      </c>
      <c r="F155" s="131">
        <f>F$117+G$141-SUM(H$139:H154)-SUM(I$139:I154)</f>
        <v>0</v>
      </c>
      <c r="G155" s="114">
        <f t="shared" si="32"/>
        <v>0</v>
      </c>
      <c r="H155" s="114">
        <f t="shared" si="28"/>
        <v>0</v>
      </c>
      <c r="I155" s="115">
        <f t="shared" si="29"/>
        <v>0</v>
      </c>
    </row>
    <row r="156" spans="1:9" x14ac:dyDescent="0.2">
      <c r="A156" s="123" t="s">
        <v>102</v>
      </c>
      <c r="B156" s="110">
        <f t="shared" si="30"/>
        <v>40452</v>
      </c>
      <c r="C156" s="110">
        <v>40543</v>
      </c>
      <c r="D156" s="111">
        <f t="shared" si="31"/>
        <v>92</v>
      </c>
      <c r="E156" s="111">
        <v>8.1300000000000008</v>
      </c>
      <c r="F156" s="131">
        <f>F$117+G$141-SUM(H$139:H155)-SUM(I$139:I155)</f>
        <v>0</v>
      </c>
      <c r="G156" s="114">
        <f t="shared" si="32"/>
        <v>0</v>
      </c>
      <c r="H156" s="114">
        <f t="shared" si="28"/>
        <v>0</v>
      </c>
      <c r="I156" s="115">
        <f t="shared" si="29"/>
        <v>0</v>
      </c>
    </row>
    <row r="157" spans="1:9" x14ac:dyDescent="0.2">
      <c r="A157" s="124" t="s">
        <v>115</v>
      </c>
      <c r="B157" s="125">
        <f t="shared" si="30"/>
        <v>40544</v>
      </c>
      <c r="C157" s="125">
        <v>40633</v>
      </c>
      <c r="D157" s="126">
        <f t="shared" si="31"/>
        <v>90</v>
      </c>
      <c r="E157" s="126">
        <v>8.1300000000000008</v>
      </c>
      <c r="F157" s="132">
        <f>F$117+G$141-SUM(H$139:H156)-SUM(I$139:I156)</f>
        <v>0</v>
      </c>
      <c r="G157" s="127">
        <f t="shared" si="32"/>
        <v>0</v>
      </c>
      <c r="H157" s="127">
        <v>0</v>
      </c>
      <c r="I157" s="128">
        <v>0</v>
      </c>
    </row>
  </sheetData>
  <customSheetViews>
    <customSheetView guid="{6086CA2F-D319-4FB4-8773-987A9787386E}" scale="75" showRuler="0">
      <selection sqref="A1:IV65536"/>
      <rowBreaks count="3" manualBreakCount="3">
        <brk id="31" max="16383" man="1"/>
        <brk id="59" max="16383" man="1"/>
        <brk id="104" max="16383" man="1"/>
      </rowBreaks>
      <pageMargins left="0.75" right="0.75" top="1" bottom="1" header="0.5" footer="0.5"/>
      <pageSetup scale="62" orientation="landscape" r:id="rId1"/>
      <headerFooter alignWithMargins="0">
        <oddFooter>&amp;L&amp;D&amp;R&amp;A</oddFooter>
      </headerFooter>
    </customSheetView>
  </customSheetViews>
  <mergeCells count="7">
    <mergeCell ref="A114:J114"/>
    <mergeCell ref="E141:F141"/>
    <mergeCell ref="A31:B31"/>
    <mergeCell ref="A33:J33"/>
    <mergeCell ref="A65:J65"/>
    <mergeCell ref="E93:F93"/>
    <mergeCell ref="E43:F43"/>
  </mergeCells>
  <phoneticPr fontId="2" type="noConversion"/>
  <pageMargins left="0.5" right="0.5" top="1" bottom="0.89" header="0.5" footer="0.5"/>
  <pageSetup scale="61" orientation="landscape" r:id="rId2"/>
  <headerFooter alignWithMargins="0">
    <oddHeader>&amp;C&amp;A&amp;RAttachment 4
WP-Schedule 22 
&amp;P of &amp;N</oddHeader>
  </headerFooter>
  <rowBreaks count="3" manualBreakCount="3">
    <brk id="31" max="16383" man="1"/>
    <brk id="64" max="16383" man="1"/>
    <brk id="1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 enableFormatConditionsCalculation="0">
    <tabColor theme="0" tint="-4.9989318521683403E-2"/>
  </sheetPr>
  <dimension ref="A2:T103"/>
  <sheetViews>
    <sheetView view="pageLayout" topLeftCell="A43" zoomScaleNormal="85" workbookViewId="0">
      <selection activeCell="F47" sqref="F47"/>
    </sheetView>
  </sheetViews>
  <sheetFormatPr defaultRowHeight="12.75" x14ac:dyDescent="0.2"/>
  <cols>
    <col min="1" max="1" width="13.5703125" style="22" customWidth="1"/>
    <col min="2" max="2" width="13.85546875" style="22" customWidth="1"/>
    <col min="3" max="5" width="16" style="22" customWidth="1"/>
    <col min="6" max="6" width="14.7109375" style="22" customWidth="1"/>
    <col min="7" max="7" width="12.28515625" style="22" customWidth="1"/>
    <col min="8" max="8" width="11.5703125" style="22" bestFit="1" customWidth="1"/>
    <col min="9" max="9" width="10.140625" style="22" customWidth="1"/>
    <col min="10" max="10" width="11.85546875" style="22" customWidth="1"/>
    <col min="11" max="11" width="9.140625" style="22"/>
    <col min="12" max="12" width="10.140625" style="22" bestFit="1" customWidth="1"/>
    <col min="13" max="16" width="9.140625" style="22"/>
    <col min="17" max="17" width="11.140625" style="22" customWidth="1"/>
    <col min="18" max="16384" width="9.140625" style="22"/>
  </cols>
  <sheetData>
    <row r="2" spans="1:20" ht="14.25" x14ac:dyDescent="0.2">
      <c r="A2" s="57" t="s">
        <v>120</v>
      </c>
      <c r="B2" s="58"/>
      <c r="C2" s="392" t="s">
        <v>6</v>
      </c>
      <c r="D2" s="392"/>
      <c r="E2" s="392"/>
      <c r="F2" s="392"/>
    </row>
    <row r="3" spans="1:20" ht="38.25" x14ac:dyDescent="0.2">
      <c r="A3" s="59"/>
      <c r="B3" s="60" t="s">
        <v>8</v>
      </c>
      <c r="C3" s="29" t="s">
        <v>7</v>
      </c>
      <c r="D3" s="29" t="s">
        <v>1</v>
      </c>
      <c r="E3" s="29" t="s">
        <v>121</v>
      </c>
      <c r="F3" s="29" t="s">
        <v>0</v>
      </c>
    </row>
    <row r="4" spans="1:20" x14ac:dyDescent="0.2">
      <c r="A4" s="61">
        <v>1</v>
      </c>
      <c r="B4" s="62">
        <v>37460</v>
      </c>
      <c r="C4" s="63">
        <v>134106.76999999999</v>
      </c>
      <c r="D4" s="63">
        <v>36208.83</v>
      </c>
      <c r="E4" s="63">
        <v>64670.5</v>
      </c>
      <c r="F4" s="55">
        <f>SUM(C4:E4)</f>
        <v>234986.09999999998</v>
      </c>
    </row>
    <row r="5" spans="1:20" x14ac:dyDescent="0.2">
      <c r="A5" s="61">
        <v>2</v>
      </c>
      <c r="B5" s="62">
        <v>37460</v>
      </c>
      <c r="C5" s="63">
        <v>672545.2</v>
      </c>
      <c r="D5" s="63">
        <v>181587.20000000001</v>
      </c>
      <c r="E5" s="63">
        <v>0</v>
      </c>
      <c r="F5" s="55">
        <f>SUM(C5:E5)</f>
        <v>854132.39999999991</v>
      </c>
    </row>
    <row r="6" spans="1:20" x14ac:dyDescent="0.2">
      <c r="A6" s="61">
        <v>3</v>
      </c>
      <c r="B6" s="62">
        <v>37468</v>
      </c>
      <c r="C6" s="63">
        <v>217040.19</v>
      </c>
      <c r="D6" s="63">
        <v>58600.85</v>
      </c>
      <c r="E6" s="63">
        <v>0</v>
      </c>
      <c r="F6" s="55">
        <f>SUM(C6:E6)</f>
        <v>275641.03999999998</v>
      </c>
    </row>
    <row r="7" spans="1:20" x14ac:dyDescent="0.2">
      <c r="A7" s="64"/>
      <c r="B7" s="64"/>
      <c r="C7" s="26">
        <f>SUM(C4:C6)</f>
        <v>1023692.1599999999</v>
      </c>
      <c r="D7" s="26">
        <f>SUM(D4:D6)</f>
        <v>276396.88</v>
      </c>
      <c r="E7" s="26">
        <f>SUM(E4:E6)</f>
        <v>64670.5</v>
      </c>
      <c r="F7" s="26">
        <f>SUM(F4:F6)</f>
        <v>1364759.54</v>
      </c>
    </row>
    <row r="8" spans="1:20" x14ac:dyDescent="0.2">
      <c r="B8" s="65"/>
      <c r="C8" s="65"/>
      <c r="E8" s="66"/>
      <c r="F8" s="66"/>
      <c r="H8" s="67"/>
      <c r="I8" s="67"/>
      <c r="K8" s="67"/>
      <c r="L8" s="67"/>
      <c r="N8" s="67"/>
      <c r="O8" s="67"/>
      <c r="P8" s="67"/>
      <c r="Q8" s="67"/>
      <c r="R8" s="67"/>
      <c r="S8" s="67"/>
      <c r="T8" s="67"/>
    </row>
    <row r="9" spans="1:20" x14ac:dyDescent="0.2">
      <c r="A9" s="386" t="s">
        <v>95</v>
      </c>
      <c r="B9" s="386"/>
      <c r="C9" s="68">
        <v>38748</v>
      </c>
      <c r="D9" s="69"/>
      <c r="E9" s="66"/>
      <c r="F9" s="66"/>
      <c r="H9" s="67"/>
      <c r="I9" s="67"/>
      <c r="K9" s="67"/>
      <c r="L9" s="67"/>
      <c r="N9" s="67"/>
      <c r="O9" s="67"/>
      <c r="P9" s="67"/>
      <c r="Q9" s="67"/>
      <c r="R9" s="67"/>
      <c r="S9" s="67"/>
      <c r="T9" s="67"/>
    </row>
    <row r="10" spans="1:20" x14ac:dyDescent="0.2">
      <c r="B10" s="65"/>
      <c r="C10" s="65"/>
      <c r="E10" s="66"/>
      <c r="F10" s="66"/>
      <c r="H10" s="67"/>
      <c r="I10" s="67"/>
      <c r="K10" s="67"/>
      <c r="L10" s="67"/>
      <c r="N10" s="67"/>
      <c r="O10" s="67"/>
      <c r="P10" s="67"/>
      <c r="Q10" s="67"/>
      <c r="R10" s="67"/>
      <c r="S10" s="67"/>
      <c r="T10" s="67"/>
    </row>
    <row r="11" spans="1:20" x14ac:dyDescent="0.2">
      <c r="A11" s="22" t="s">
        <v>5</v>
      </c>
      <c r="B11" s="65"/>
      <c r="C11" s="65"/>
      <c r="E11" s="66"/>
      <c r="F11" s="66"/>
      <c r="H11" s="67"/>
      <c r="I11" s="67"/>
      <c r="K11" s="67"/>
      <c r="L11" s="67"/>
      <c r="N11" s="67"/>
      <c r="O11" s="67"/>
      <c r="P11" s="67"/>
      <c r="Q11" s="67"/>
      <c r="R11" s="67"/>
      <c r="S11" s="67"/>
      <c r="T11" s="67"/>
    </row>
    <row r="12" spans="1:20" x14ac:dyDescent="0.2">
      <c r="A12" s="387" t="s">
        <v>122</v>
      </c>
      <c r="B12" s="388"/>
      <c r="C12" s="388"/>
      <c r="D12" s="388"/>
      <c r="E12" s="388"/>
      <c r="F12" s="388"/>
      <c r="G12" s="388"/>
      <c r="H12" s="388"/>
      <c r="I12" s="388"/>
      <c r="J12" s="389"/>
    </row>
    <row r="13" spans="1:20" x14ac:dyDescent="0.2">
      <c r="A13" s="30" t="s">
        <v>10</v>
      </c>
      <c r="B13" s="30" t="s">
        <v>11</v>
      </c>
      <c r="C13" s="30" t="s">
        <v>12</v>
      </c>
      <c r="D13" s="30" t="s">
        <v>13</v>
      </c>
      <c r="E13" s="30" t="s">
        <v>14</v>
      </c>
      <c r="F13" s="30" t="s">
        <v>15</v>
      </c>
      <c r="G13" s="30" t="s">
        <v>16</v>
      </c>
      <c r="H13" s="30"/>
      <c r="I13" s="30"/>
      <c r="J13" s="30" t="s">
        <v>17</v>
      </c>
    </row>
    <row r="14" spans="1:20" ht="51" x14ac:dyDescent="0.2">
      <c r="A14" s="70" t="s">
        <v>18</v>
      </c>
      <c r="B14" s="70" t="s">
        <v>19</v>
      </c>
      <c r="C14" s="70" t="s">
        <v>20</v>
      </c>
      <c r="D14" s="70" t="s">
        <v>21</v>
      </c>
      <c r="E14" s="70" t="s">
        <v>22</v>
      </c>
      <c r="F14" s="70" t="s">
        <v>23</v>
      </c>
      <c r="G14" s="6" t="s">
        <v>130</v>
      </c>
      <c r="H14" s="6" t="s">
        <v>37</v>
      </c>
      <c r="I14" s="6" t="s">
        <v>131</v>
      </c>
      <c r="J14" s="70" t="s">
        <v>25</v>
      </c>
    </row>
    <row r="15" spans="1:20" x14ac:dyDescent="0.2">
      <c r="A15" s="102" t="s">
        <v>76</v>
      </c>
      <c r="B15" s="103">
        <f>C9</f>
        <v>38748</v>
      </c>
      <c r="C15" s="103">
        <v>38807</v>
      </c>
      <c r="D15" s="104">
        <f t="shared" ref="D15:D23" si="0">+C15-B15+1</f>
        <v>60</v>
      </c>
      <c r="E15" s="105">
        <v>6.78</v>
      </c>
      <c r="F15" s="106">
        <f>C4+C5</f>
        <v>806651.97</v>
      </c>
      <c r="G15" s="107">
        <f>+D15/366*E15/100*F15</f>
        <v>8965.7382895081955</v>
      </c>
      <c r="H15" s="107">
        <f>F$15/20</f>
        <v>40332.5985</v>
      </c>
      <c r="I15" s="108">
        <f>G$16/20</f>
        <v>448.28691447540979</v>
      </c>
      <c r="J15" s="142">
        <f>+F15+G15</f>
        <v>815617.70828950813</v>
      </c>
    </row>
    <row r="16" spans="1:20" x14ac:dyDescent="0.2">
      <c r="A16" s="109"/>
      <c r="B16" s="110"/>
      <c r="C16" s="110"/>
      <c r="D16" s="111"/>
      <c r="E16" s="390" t="s">
        <v>132</v>
      </c>
      <c r="F16" s="391"/>
      <c r="G16" s="147">
        <f>SUM(G15:G15)</f>
        <v>8965.7382895081955</v>
      </c>
      <c r="H16" s="114"/>
      <c r="I16" s="115"/>
      <c r="J16" s="148"/>
    </row>
    <row r="17" spans="1:10" x14ac:dyDescent="0.2">
      <c r="A17" s="109" t="s">
        <v>77</v>
      </c>
      <c r="B17" s="110">
        <f>C15+1</f>
        <v>38808</v>
      </c>
      <c r="C17" s="110">
        <v>38898</v>
      </c>
      <c r="D17" s="111">
        <f t="shared" si="0"/>
        <v>91</v>
      </c>
      <c r="E17" s="112">
        <v>7.3</v>
      </c>
      <c r="F17" s="131">
        <f>F$15+G$16-SUM(H$15:H16)-SUM(I$15:I16)</f>
        <v>774836.82287503278</v>
      </c>
      <c r="G17" s="114">
        <f t="shared" ref="G17:G23" si="1">+D17/365*E17/100*F17</f>
        <v>14102.030176325597</v>
      </c>
      <c r="H17" s="114">
        <f t="shared" ref="H17:H23" si="2">F$15/20</f>
        <v>40332.5985</v>
      </c>
      <c r="I17" s="116">
        <f t="shared" ref="I17:I23" si="3">G$16/20</f>
        <v>448.28691447540979</v>
      </c>
      <c r="J17" s="137"/>
    </row>
    <row r="18" spans="1:10" x14ac:dyDescent="0.2">
      <c r="A18" s="109" t="s">
        <v>78</v>
      </c>
      <c r="B18" s="110">
        <f t="shared" ref="B18:B36" si="4">C17+1</f>
        <v>38899</v>
      </c>
      <c r="C18" s="110">
        <v>38990</v>
      </c>
      <c r="D18" s="111">
        <f t="shared" si="0"/>
        <v>92</v>
      </c>
      <c r="E18" s="111">
        <v>7.74</v>
      </c>
      <c r="F18" s="131">
        <f>F$15+G$16-SUM(H$15:H17)-SUM(I$15:I17)</f>
        <v>734055.93746055721</v>
      </c>
      <c r="G18" s="114">
        <f t="shared" si="1"/>
        <v>14320.727450600374</v>
      </c>
      <c r="H18" s="114">
        <f t="shared" si="2"/>
        <v>40332.5985</v>
      </c>
      <c r="I18" s="116">
        <f t="shared" si="3"/>
        <v>448.28691447540979</v>
      </c>
      <c r="J18" s="137"/>
    </row>
    <row r="19" spans="1:10" x14ac:dyDescent="0.2">
      <c r="A19" s="109" t="s">
        <v>79</v>
      </c>
      <c r="B19" s="110">
        <f t="shared" si="4"/>
        <v>38991</v>
      </c>
      <c r="C19" s="110">
        <v>39082</v>
      </c>
      <c r="D19" s="111">
        <f t="shared" si="0"/>
        <v>92</v>
      </c>
      <c r="E19" s="111">
        <v>8.17</v>
      </c>
      <c r="F19" s="131">
        <f>F$15+G$16-SUM(H$15:H18)-SUM(I$15:I18)</f>
        <v>693275.05204608187</v>
      </c>
      <c r="G19" s="114">
        <f t="shared" si="1"/>
        <v>14276.527674518275</v>
      </c>
      <c r="H19" s="114">
        <f t="shared" si="2"/>
        <v>40332.5985</v>
      </c>
      <c r="I19" s="116">
        <f t="shared" si="3"/>
        <v>448.28691447540979</v>
      </c>
      <c r="J19" s="137"/>
    </row>
    <row r="20" spans="1:10" x14ac:dyDescent="0.2">
      <c r="A20" s="109" t="s">
        <v>80</v>
      </c>
      <c r="B20" s="110">
        <f t="shared" si="4"/>
        <v>39083</v>
      </c>
      <c r="C20" s="110">
        <v>39172</v>
      </c>
      <c r="D20" s="111">
        <f t="shared" si="0"/>
        <v>90</v>
      </c>
      <c r="E20" s="111">
        <v>8.25</v>
      </c>
      <c r="F20" s="131">
        <f>F$15+G$16-SUM(H$15:H19)-SUM(I$15:I19)</f>
        <v>652494.16663160652</v>
      </c>
      <c r="G20" s="114">
        <f t="shared" si="1"/>
        <v>13273.340239012818</v>
      </c>
      <c r="H20" s="114">
        <f t="shared" si="2"/>
        <v>40332.5985</v>
      </c>
      <c r="I20" s="116">
        <f t="shared" si="3"/>
        <v>448.28691447540979</v>
      </c>
      <c r="J20" s="137"/>
    </row>
    <row r="21" spans="1:10" x14ac:dyDescent="0.2">
      <c r="A21" s="109" t="s">
        <v>81</v>
      </c>
      <c r="B21" s="110">
        <f t="shared" si="4"/>
        <v>39173</v>
      </c>
      <c r="C21" s="110">
        <v>39263</v>
      </c>
      <c r="D21" s="111">
        <f t="shared" si="0"/>
        <v>91</v>
      </c>
      <c r="E21" s="111">
        <v>8.25</v>
      </c>
      <c r="F21" s="131">
        <f>F$15+G$16-SUM(H$15:H20)-SUM(I$15:I20)</f>
        <v>611713.28121713107</v>
      </c>
      <c r="G21" s="114">
        <f t="shared" si="1"/>
        <v>12582.020434897568</v>
      </c>
      <c r="H21" s="114">
        <f t="shared" si="2"/>
        <v>40332.5985</v>
      </c>
      <c r="I21" s="116">
        <f t="shared" si="3"/>
        <v>448.28691447540979</v>
      </c>
      <c r="J21" s="137"/>
    </row>
    <row r="22" spans="1:10" x14ac:dyDescent="0.2">
      <c r="A22" s="109" t="s">
        <v>82</v>
      </c>
      <c r="B22" s="110">
        <f t="shared" si="4"/>
        <v>39264</v>
      </c>
      <c r="C22" s="110">
        <v>39355</v>
      </c>
      <c r="D22" s="111">
        <f t="shared" si="0"/>
        <v>92</v>
      </c>
      <c r="E22" s="111">
        <v>8.25</v>
      </c>
      <c r="F22" s="131">
        <f>F$15+G$16-SUM(H$15:H21)-SUM(I$15:I21)</f>
        <v>570932.39580265561</v>
      </c>
      <c r="G22" s="114">
        <f t="shared" si="1"/>
        <v>11872.265436005908</v>
      </c>
      <c r="H22" s="114">
        <f t="shared" si="2"/>
        <v>40332.5985</v>
      </c>
      <c r="I22" s="116">
        <f t="shared" si="3"/>
        <v>448.28691447540979</v>
      </c>
      <c r="J22" s="137"/>
    </row>
    <row r="23" spans="1:10" x14ac:dyDescent="0.2">
      <c r="A23" s="123" t="s">
        <v>83</v>
      </c>
      <c r="B23" s="110">
        <f t="shared" si="4"/>
        <v>39356</v>
      </c>
      <c r="C23" s="110">
        <v>39447</v>
      </c>
      <c r="D23" s="111">
        <f t="shared" si="0"/>
        <v>92</v>
      </c>
      <c r="E23" s="111">
        <v>8.25</v>
      </c>
      <c r="F23" s="131">
        <f>F$15+G$16-SUM(H$15:H22)-SUM(I$15:I22)</f>
        <v>530151.51038818026</v>
      </c>
      <c r="G23" s="114">
        <f t="shared" si="1"/>
        <v>11024.2464762912</v>
      </c>
      <c r="H23" s="114">
        <f t="shared" si="2"/>
        <v>40332.5985</v>
      </c>
      <c r="I23" s="116">
        <f t="shared" si="3"/>
        <v>448.28691447540979</v>
      </c>
      <c r="J23" s="137"/>
    </row>
    <row r="24" spans="1:10" x14ac:dyDescent="0.2">
      <c r="A24" s="123" t="s">
        <v>105</v>
      </c>
      <c r="B24" s="110">
        <f t="shared" si="4"/>
        <v>39448</v>
      </c>
      <c r="C24" s="110">
        <v>39538</v>
      </c>
      <c r="D24" s="111">
        <f t="shared" ref="D24:D36" si="5">+C24-B24+1</f>
        <v>91</v>
      </c>
      <c r="E24" s="111">
        <v>7.76</v>
      </c>
      <c r="F24" s="131">
        <f>F$15+G$16-SUM(H$15:H23)-SUM(I$15:I23)</f>
        <v>489370.62497370486</v>
      </c>
      <c r="G24" s="114">
        <f>+D24/366*E24/100*F24</f>
        <v>9441.9114899298202</v>
      </c>
      <c r="H24" s="114">
        <f t="shared" ref="H24:H35" si="6">F$15/20</f>
        <v>40332.5985</v>
      </c>
      <c r="I24" s="115">
        <f t="shared" ref="I24:I35" si="7">G$16/20</f>
        <v>448.28691447540979</v>
      </c>
      <c r="J24" s="35"/>
    </row>
    <row r="25" spans="1:10" x14ac:dyDescent="0.2">
      <c r="A25" s="123" t="s">
        <v>106</v>
      </c>
      <c r="B25" s="110">
        <f t="shared" si="4"/>
        <v>39539</v>
      </c>
      <c r="C25" s="110">
        <v>39629</v>
      </c>
      <c r="D25" s="111">
        <f t="shared" si="5"/>
        <v>91</v>
      </c>
      <c r="E25" s="111">
        <v>6.77</v>
      </c>
      <c r="F25" s="131">
        <f>F$15+G$16-SUM(H$15:H24)-SUM(I$15:I24)</f>
        <v>448589.73955922941</v>
      </c>
      <c r="G25" s="114">
        <f>+D25/366*E25/100*F25</f>
        <v>7550.8929194058583</v>
      </c>
      <c r="H25" s="114">
        <f t="shared" si="6"/>
        <v>40332.5985</v>
      </c>
      <c r="I25" s="115">
        <f t="shared" si="7"/>
        <v>448.28691447540979</v>
      </c>
      <c r="J25" s="35"/>
    </row>
    <row r="26" spans="1:10" x14ac:dyDescent="0.2">
      <c r="A26" s="123" t="s">
        <v>107</v>
      </c>
      <c r="B26" s="110">
        <f t="shared" si="4"/>
        <v>39630</v>
      </c>
      <c r="C26" s="110">
        <v>39721</v>
      </c>
      <c r="D26" s="111">
        <f t="shared" si="5"/>
        <v>92</v>
      </c>
      <c r="E26" s="111">
        <v>5.3</v>
      </c>
      <c r="F26" s="131">
        <f>F$15+G$16-SUM(H$15:H25)-SUM(I$15:I25)</f>
        <v>407808.854144754</v>
      </c>
      <c r="G26" s="114">
        <f>+D26/366*E26/100*F26</f>
        <v>5432.9944612290183</v>
      </c>
      <c r="H26" s="114">
        <f t="shared" si="6"/>
        <v>40332.5985</v>
      </c>
      <c r="I26" s="115">
        <f t="shared" si="7"/>
        <v>448.28691447540979</v>
      </c>
      <c r="J26" s="35"/>
    </row>
    <row r="27" spans="1:10" x14ac:dyDescent="0.2">
      <c r="A27" s="123" t="s">
        <v>100</v>
      </c>
      <c r="B27" s="110">
        <f t="shared" si="4"/>
        <v>39722</v>
      </c>
      <c r="C27" s="110">
        <v>39813</v>
      </c>
      <c r="D27" s="111">
        <f t="shared" si="5"/>
        <v>92</v>
      </c>
      <c r="E27" s="111">
        <v>5</v>
      </c>
      <c r="F27" s="131">
        <f>F$15+G$16-SUM(H$15:H26)-SUM(I$15:I26)</f>
        <v>367027.96873027855</v>
      </c>
      <c r="G27" s="114">
        <f>+D27/366*E27/100*F27</f>
        <v>4612.9198255718075</v>
      </c>
      <c r="H27" s="114">
        <f t="shared" si="6"/>
        <v>40332.5985</v>
      </c>
      <c r="I27" s="115">
        <f t="shared" si="7"/>
        <v>448.28691447540979</v>
      </c>
      <c r="J27" s="35"/>
    </row>
    <row r="28" spans="1:10" x14ac:dyDescent="0.2">
      <c r="A28" s="123" t="s">
        <v>108</v>
      </c>
      <c r="B28" s="110">
        <f t="shared" si="4"/>
        <v>39814</v>
      </c>
      <c r="C28" s="110">
        <v>39903</v>
      </c>
      <c r="D28" s="111">
        <f t="shared" si="5"/>
        <v>90</v>
      </c>
      <c r="E28" s="111">
        <v>4.5199999999999996</v>
      </c>
      <c r="F28" s="131">
        <f>F$15+G$16-SUM(H$15:H27)-SUM(I$15:I27)</f>
        <v>326247.08331580315</v>
      </c>
      <c r="G28" s="114">
        <f t="shared" ref="G28:G36" si="8">+D28/365*E28/100*F28</f>
        <v>3636.09078062654</v>
      </c>
      <c r="H28" s="114">
        <f t="shared" si="6"/>
        <v>40332.5985</v>
      </c>
      <c r="I28" s="115">
        <f t="shared" si="7"/>
        <v>448.28691447540979</v>
      </c>
      <c r="J28" s="35"/>
    </row>
    <row r="29" spans="1:10" x14ac:dyDescent="0.2">
      <c r="A29" s="123" t="s">
        <v>109</v>
      </c>
      <c r="B29" s="110">
        <f t="shared" si="4"/>
        <v>39904</v>
      </c>
      <c r="C29" s="110">
        <v>39994</v>
      </c>
      <c r="D29" s="111">
        <f t="shared" si="5"/>
        <v>91</v>
      </c>
      <c r="E29" s="111">
        <v>3.37</v>
      </c>
      <c r="F29" s="131">
        <f>F$15+G$16-SUM(H$15:H28)-SUM(I$15:I28)</f>
        <v>285466.19790132769</v>
      </c>
      <c r="G29" s="114">
        <f t="shared" si="8"/>
        <v>2398.463531791785</v>
      </c>
      <c r="H29" s="114">
        <f t="shared" si="6"/>
        <v>40332.5985</v>
      </c>
      <c r="I29" s="115">
        <f t="shared" si="7"/>
        <v>448.28691447540979</v>
      </c>
      <c r="J29" s="35"/>
    </row>
    <row r="30" spans="1:10" x14ac:dyDescent="0.2">
      <c r="A30" s="123" t="s">
        <v>111</v>
      </c>
      <c r="B30" s="110">
        <f t="shared" si="4"/>
        <v>39995</v>
      </c>
      <c r="C30" s="110">
        <v>40086</v>
      </c>
      <c r="D30" s="111">
        <f t="shared" si="5"/>
        <v>92</v>
      </c>
      <c r="E30" s="111">
        <v>3.25</v>
      </c>
      <c r="F30" s="131">
        <f>F$15+G$16-SUM(H$15:H29)-SUM(I$15:I29)</f>
        <v>244685.31248685232</v>
      </c>
      <c r="G30" s="114">
        <f t="shared" si="8"/>
        <v>2004.408450234763</v>
      </c>
      <c r="H30" s="114">
        <f t="shared" si="6"/>
        <v>40332.5985</v>
      </c>
      <c r="I30" s="115">
        <f t="shared" si="7"/>
        <v>448.28691447540979</v>
      </c>
      <c r="J30" s="35"/>
    </row>
    <row r="31" spans="1:10" x14ac:dyDescent="0.2">
      <c r="A31" s="123" t="s">
        <v>101</v>
      </c>
      <c r="B31" s="110">
        <f t="shared" si="4"/>
        <v>40087</v>
      </c>
      <c r="C31" s="110">
        <v>40178</v>
      </c>
      <c r="D31" s="111">
        <f t="shared" si="5"/>
        <v>92</v>
      </c>
      <c r="E31" s="111">
        <f t="shared" ref="E31:E36" si="9">E30</f>
        <v>3.25</v>
      </c>
      <c r="F31" s="131">
        <f>F$15+G$16-SUM(H$15:H30)-SUM(I$15:I30)</f>
        <v>203904.42707237694</v>
      </c>
      <c r="G31" s="114">
        <f t="shared" si="8"/>
        <v>1670.3403751956359</v>
      </c>
      <c r="H31" s="114">
        <f t="shared" si="6"/>
        <v>40332.5985</v>
      </c>
      <c r="I31" s="115">
        <f t="shared" si="7"/>
        <v>448.28691447540979</v>
      </c>
      <c r="J31" s="35"/>
    </row>
    <row r="32" spans="1:10" x14ac:dyDescent="0.2">
      <c r="A32" s="123" t="s">
        <v>112</v>
      </c>
      <c r="B32" s="110">
        <f t="shared" si="4"/>
        <v>40179</v>
      </c>
      <c r="C32" s="110">
        <v>40268</v>
      </c>
      <c r="D32" s="111">
        <f t="shared" si="5"/>
        <v>90</v>
      </c>
      <c r="E32" s="111">
        <f t="shared" si="9"/>
        <v>3.25</v>
      </c>
      <c r="F32" s="131">
        <f>F$15+G$16-SUM(H$15:H31)-SUM(I$15:I31)</f>
        <v>163123.54165790157</v>
      </c>
      <c r="G32" s="114">
        <f t="shared" si="8"/>
        <v>1307.2229023270193</v>
      </c>
      <c r="H32" s="114">
        <f t="shared" si="6"/>
        <v>40332.5985</v>
      </c>
      <c r="I32" s="115">
        <f t="shared" si="7"/>
        <v>448.28691447540979</v>
      </c>
      <c r="J32" s="35"/>
    </row>
    <row r="33" spans="1:10" x14ac:dyDescent="0.2">
      <c r="A33" s="123" t="s">
        <v>113</v>
      </c>
      <c r="B33" s="110">
        <f t="shared" si="4"/>
        <v>40269</v>
      </c>
      <c r="C33" s="110">
        <v>40359</v>
      </c>
      <c r="D33" s="111">
        <f t="shared" si="5"/>
        <v>91</v>
      </c>
      <c r="E33" s="111">
        <f t="shared" si="9"/>
        <v>3.25</v>
      </c>
      <c r="F33" s="131">
        <f>F$15+G$16-SUM(H$15:H32)-SUM(I$15:I32)</f>
        <v>122342.6562434262</v>
      </c>
      <c r="G33" s="114">
        <f t="shared" si="8"/>
        <v>991.31070093132325</v>
      </c>
      <c r="H33" s="114">
        <f t="shared" si="6"/>
        <v>40332.5985</v>
      </c>
      <c r="I33" s="115">
        <f t="shared" si="7"/>
        <v>448.28691447540979</v>
      </c>
      <c r="J33" s="35"/>
    </row>
    <row r="34" spans="1:10" x14ac:dyDescent="0.2">
      <c r="A34" s="123" t="s">
        <v>114</v>
      </c>
      <c r="B34" s="110">
        <f t="shared" si="4"/>
        <v>40360</v>
      </c>
      <c r="C34" s="110">
        <v>40451</v>
      </c>
      <c r="D34" s="111">
        <f t="shared" si="5"/>
        <v>92</v>
      </c>
      <c r="E34" s="111">
        <f t="shared" si="9"/>
        <v>3.25</v>
      </c>
      <c r="F34" s="131">
        <f>F$15+G$16-SUM(H$15:H33)-SUM(I$15:I33)</f>
        <v>81561.77082895083</v>
      </c>
      <c r="G34" s="114">
        <f t="shared" si="8"/>
        <v>668.13615007825479</v>
      </c>
      <c r="H34" s="114">
        <f t="shared" si="6"/>
        <v>40332.5985</v>
      </c>
      <c r="I34" s="115">
        <f t="shared" si="7"/>
        <v>448.28691447540979</v>
      </c>
      <c r="J34" s="35"/>
    </row>
    <row r="35" spans="1:10" x14ac:dyDescent="0.2">
      <c r="A35" s="123" t="s">
        <v>102</v>
      </c>
      <c r="B35" s="110">
        <f t="shared" si="4"/>
        <v>40452</v>
      </c>
      <c r="C35" s="110">
        <v>40543</v>
      </c>
      <c r="D35" s="111">
        <f t="shared" si="5"/>
        <v>92</v>
      </c>
      <c r="E35" s="111">
        <f t="shared" si="9"/>
        <v>3.25</v>
      </c>
      <c r="F35" s="131">
        <f>F$15+G$16-SUM(H$15:H34)-SUM(I$15:I34)</f>
        <v>40780.885414475451</v>
      </c>
      <c r="G35" s="114">
        <f t="shared" si="8"/>
        <v>334.06807503912768</v>
      </c>
      <c r="H35" s="114">
        <f t="shared" si="6"/>
        <v>40332.5985</v>
      </c>
      <c r="I35" s="115">
        <f t="shared" si="7"/>
        <v>448.28691447540979</v>
      </c>
      <c r="J35" s="35"/>
    </row>
    <row r="36" spans="1:10" x14ac:dyDescent="0.2">
      <c r="A36" s="124" t="s">
        <v>115</v>
      </c>
      <c r="B36" s="125">
        <f t="shared" si="4"/>
        <v>40544</v>
      </c>
      <c r="C36" s="125">
        <v>40633</v>
      </c>
      <c r="D36" s="126">
        <f t="shared" si="5"/>
        <v>90</v>
      </c>
      <c r="E36" s="111">
        <f t="shared" si="9"/>
        <v>3.25</v>
      </c>
      <c r="F36" s="132">
        <f>F$15+G$16-SUM(H$15:H35)-SUM(I$15:I35)</f>
        <v>7.6397554948925972E-11</v>
      </c>
      <c r="G36" s="127">
        <f t="shared" si="8"/>
        <v>6.1222698144002312E-13</v>
      </c>
      <c r="H36" s="127">
        <v>0</v>
      </c>
      <c r="I36" s="128">
        <v>0</v>
      </c>
      <c r="J36" s="35"/>
    </row>
    <row r="37" spans="1:10" x14ac:dyDescent="0.2">
      <c r="G37" s="55"/>
      <c r="I37" s="55"/>
      <c r="J37" s="55"/>
    </row>
    <row r="38" spans="1:10" x14ac:dyDescent="0.2">
      <c r="A38" s="387" t="s">
        <v>123</v>
      </c>
      <c r="B38" s="388"/>
      <c r="C38" s="388"/>
      <c r="D38" s="388"/>
      <c r="E38" s="388"/>
      <c r="F38" s="388"/>
      <c r="G38" s="388"/>
      <c r="H38" s="388"/>
      <c r="I38" s="388"/>
      <c r="J38" s="389"/>
    </row>
    <row r="39" spans="1:10" x14ac:dyDescent="0.2">
      <c r="A39" s="30" t="s">
        <v>10</v>
      </c>
      <c r="B39" s="30" t="s">
        <v>11</v>
      </c>
      <c r="C39" s="30" t="s">
        <v>12</v>
      </c>
      <c r="D39" s="30" t="s">
        <v>13</v>
      </c>
      <c r="E39" s="30" t="s">
        <v>14</v>
      </c>
      <c r="F39" s="30" t="s">
        <v>15</v>
      </c>
      <c r="G39" s="30" t="s">
        <v>16</v>
      </c>
      <c r="H39" s="30"/>
      <c r="I39" s="30"/>
      <c r="J39" s="30" t="s">
        <v>17</v>
      </c>
    </row>
    <row r="40" spans="1:10" ht="51" x14ac:dyDescent="0.2">
      <c r="A40" s="70" t="s">
        <v>18</v>
      </c>
      <c r="B40" s="70" t="s">
        <v>19</v>
      </c>
      <c r="C40" s="70" t="s">
        <v>20</v>
      </c>
      <c r="D40" s="70" t="s">
        <v>21</v>
      </c>
      <c r="E40" s="70" t="s">
        <v>22</v>
      </c>
      <c r="F40" s="70" t="s">
        <v>23</v>
      </c>
      <c r="G40" s="6" t="s">
        <v>130</v>
      </c>
      <c r="H40" s="6" t="s">
        <v>37</v>
      </c>
      <c r="I40" s="6" t="s">
        <v>131</v>
      </c>
      <c r="J40" s="70" t="s">
        <v>25</v>
      </c>
    </row>
    <row r="41" spans="1:10" x14ac:dyDescent="0.2">
      <c r="A41" s="102" t="s">
        <v>76</v>
      </c>
      <c r="B41" s="103">
        <f>C9</f>
        <v>38748</v>
      </c>
      <c r="C41" s="103">
        <v>38807</v>
      </c>
      <c r="D41" s="104">
        <f>+C41-B41+1</f>
        <v>60</v>
      </c>
      <c r="E41" s="105">
        <v>6.78</v>
      </c>
      <c r="F41" s="106">
        <f>C6</f>
        <v>217040.19</v>
      </c>
      <c r="G41" s="107">
        <f>+D41/366*E41/100*F41</f>
        <v>2412.3483413114755</v>
      </c>
      <c r="H41" s="107">
        <f>F$41/20</f>
        <v>10852.0095</v>
      </c>
      <c r="I41" s="108">
        <f>G$42/20</f>
        <v>120.61741706557378</v>
      </c>
      <c r="J41" s="142">
        <f>+F41+G41</f>
        <v>219452.53834131148</v>
      </c>
    </row>
    <row r="42" spans="1:10" x14ac:dyDescent="0.2">
      <c r="A42" s="109"/>
      <c r="B42" s="110"/>
      <c r="C42" s="110"/>
      <c r="D42" s="111"/>
      <c r="E42" s="390" t="s">
        <v>132</v>
      </c>
      <c r="F42" s="391"/>
      <c r="G42" s="147">
        <f>SUM(G41:G41)</f>
        <v>2412.3483413114755</v>
      </c>
      <c r="H42" s="114"/>
      <c r="I42" s="115"/>
      <c r="J42" s="148"/>
    </row>
    <row r="43" spans="1:10" x14ac:dyDescent="0.2">
      <c r="A43" s="109" t="s">
        <v>77</v>
      </c>
      <c r="B43" s="110">
        <f>C41+1</f>
        <v>38808</v>
      </c>
      <c r="C43" s="110">
        <v>38898</v>
      </c>
      <c r="D43" s="111">
        <f t="shared" ref="D43:D49" si="10">+C43-B43+1</f>
        <v>91</v>
      </c>
      <c r="E43" s="112">
        <v>7.3</v>
      </c>
      <c r="F43" s="131">
        <f>F$41+G$42-SUM(H$41:H42)-SUM(I$41:I42)</f>
        <v>208479.91142424589</v>
      </c>
      <c r="G43" s="114">
        <f t="shared" ref="G43:G49" si="11">+D43/365*E43/100*F43</f>
        <v>3794.3343879212753</v>
      </c>
      <c r="H43" s="114">
        <f t="shared" ref="H43:H49" si="12">F$41/20</f>
        <v>10852.0095</v>
      </c>
      <c r="I43" s="116">
        <f t="shared" ref="I43:I49" si="13">G$42/20</f>
        <v>120.61741706557378</v>
      </c>
      <c r="J43" s="137"/>
    </row>
    <row r="44" spans="1:10" x14ac:dyDescent="0.2">
      <c r="A44" s="109" t="s">
        <v>78</v>
      </c>
      <c r="B44" s="110">
        <f t="shared" ref="B44:B62" si="14">C43+1</f>
        <v>38899</v>
      </c>
      <c r="C44" s="110">
        <v>38990</v>
      </c>
      <c r="D44" s="111">
        <f t="shared" si="10"/>
        <v>92</v>
      </c>
      <c r="E44" s="111">
        <v>7.74</v>
      </c>
      <c r="F44" s="131">
        <f>F$41+G$42-SUM(H$41:H43)-SUM(I$41:I43)</f>
        <v>197507.28450718033</v>
      </c>
      <c r="G44" s="114">
        <f t="shared" si="11"/>
        <v>3853.1777301883012</v>
      </c>
      <c r="H44" s="114">
        <f t="shared" si="12"/>
        <v>10852.0095</v>
      </c>
      <c r="I44" s="116">
        <f t="shared" si="13"/>
        <v>120.61741706557378</v>
      </c>
      <c r="J44" s="137"/>
    </row>
    <row r="45" spans="1:10" x14ac:dyDescent="0.2">
      <c r="A45" s="109" t="s">
        <v>79</v>
      </c>
      <c r="B45" s="110">
        <f t="shared" si="14"/>
        <v>38991</v>
      </c>
      <c r="C45" s="110">
        <v>39082</v>
      </c>
      <c r="D45" s="111">
        <f t="shared" si="10"/>
        <v>92</v>
      </c>
      <c r="E45" s="111">
        <v>8.17</v>
      </c>
      <c r="F45" s="131">
        <f>F$41+G$42-SUM(H$41:H44)-SUM(I$41:I44)</f>
        <v>186534.65759011477</v>
      </c>
      <c r="G45" s="114">
        <f t="shared" si="11"/>
        <v>3841.2852063296955</v>
      </c>
      <c r="H45" s="114">
        <f t="shared" si="12"/>
        <v>10852.0095</v>
      </c>
      <c r="I45" s="116">
        <f t="shared" si="13"/>
        <v>120.61741706557378</v>
      </c>
      <c r="J45" s="137"/>
    </row>
    <row r="46" spans="1:10" x14ac:dyDescent="0.2">
      <c r="A46" s="109" t="s">
        <v>80</v>
      </c>
      <c r="B46" s="110">
        <f t="shared" si="14"/>
        <v>39083</v>
      </c>
      <c r="C46" s="110">
        <v>39172</v>
      </c>
      <c r="D46" s="111">
        <f t="shared" si="10"/>
        <v>90</v>
      </c>
      <c r="E46" s="111">
        <v>8.25</v>
      </c>
      <c r="F46" s="131">
        <f>F$41+G$42-SUM(H$41:H45)-SUM(I$41:I45)</f>
        <v>175562.03067304919</v>
      </c>
      <c r="G46" s="114">
        <f t="shared" si="11"/>
        <v>3571.3645965681922</v>
      </c>
      <c r="H46" s="114">
        <f t="shared" si="12"/>
        <v>10852.0095</v>
      </c>
      <c r="I46" s="116">
        <f t="shared" si="13"/>
        <v>120.61741706557378</v>
      </c>
      <c r="J46" s="137"/>
    </row>
    <row r="47" spans="1:10" x14ac:dyDescent="0.2">
      <c r="A47" s="109" t="s">
        <v>81</v>
      </c>
      <c r="B47" s="110">
        <f t="shared" si="14"/>
        <v>39173</v>
      </c>
      <c r="C47" s="110">
        <v>39263</v>
      </c>
      <c r="D47" s="111">
        <f t="shared" si="10"/>
        <v>91</v>
      </c>
      <c r="E47" s="111">
        <v>8.25</v>
      </c>
      <c r="F47" s="131">
        <f>F$41+G$42-SUM(H$41:H46)-SUM(I$41:I46)</f>
        <v>164589.4037559836</v>
      </c>
      <c r="G47" s="114">
        <f t="shared" si="11"/>
        <v>3385.3560238302657</v>
      </c>
      <c r="H47" s="114">
        <f t="shared" si="12"/>
        <v>10852.0095</v>
      </c>
      <c r="I47" s="116">
        <f t="shared" si="13"/>
        <v>120.61741706557378</v>
      </c>
      <c r="J47" s="137"/>
    </row>
    <row r="48" spans="1:10" x14ac:dyDescent="0.2">
      <c r="A48" s="109" t="s">
        <v>82</v>
      </c>
      <c r="B48" s="110">
        <f t="shared" si="14"/>
        <v>39264</v>
      </c>
      <c r="C48" s="110">
        <v>39355</v>
      </c>
      <c r="D48" s="111">
        <f t="shared" si="10"/>
        <v>92</v>
      </c>
      <c r="E48" s="111">
        <v>8.25</v>
      </c>
      <c r="F48" s="131">
        <f>F$41+G$42-SUM(H$41:H47)-SUM(I$41:I47)</f>
        <v>153616.77683891804</v>
      </c>
      <c r="G48" s="114">
        <f t="shared" si="11"/>
        <v>3194.3872224859947</v>
      </c>
      <c r="H48" s="114">
        <f t="shared" si="12"/>
        <v>10852.0095</v>
      </c>
      <c r="I48" s="116">
        <f t="shared" si="13"/>
        <v>120.61741706557378</v>
      </c>
      <c r="J48" s="137"/>
    </row>
    <row r="49" spans="1:12" x14ac:dyDescent="0.2">
      <c r="A49" s="123" t="s">
        <v>83</v>
      </c>
      <c r="B49" s="110">
        <f t="shared" si="14"/>
        <v>39356</v>
      </c>
      <c r="C49" s="110">
        <v>39447</v>
      </c>
      <c r="D49" s="111">
        <f t="shared" si="10"/>
        <v>92</v>
      </c>
      <c r="E49" s="111">
        <v>8.25</v>
      </c>
      <c r="F49" s="131">
        <f>F$41+G$42-SUM(H$41:H48)-SUM(I$41:I48)</f>
        <v>142644.14992185248</v>
      </c>
      <c r="G49" s="114">
        <f t="shared" si="11"/>
        <v>2966.216706594138</v>
      </c>
      <c r="H49" s="114">
        <f t="shared" si="12"/>
        <v>10852.0095</v>
      </c>
      <c r="I49" s="116">
        <f t="shared" si="13"/>
        <v>120.61741706557378</v>
      </c>
      <c r="J49" s="137"/>
    </row>
    <row r="50" spans="1:12" x14ac:dyDescent="0.2">
      <c r="A50" s="123" t="s">
        <v>105</v>
      </c>
      <c r="B50" s="110">
        <f t="shared" si="14"/>
        <v>39448</v>
      </c>
      <c r="C50" s="110">
        <v>39538</v>
      </c>
      <c r="D50" s="111">
        <f t="shared" ref="D50:D62" si="15">+C50-B50+1</f>
        <v>91</v>
      </c>
      <c r="E50" s="111">
        <v>7.76</v>
      </c>
      <c r="F50" s="131">
        <f>F$41+G$42-SUM(H$41:H49)-SUM(I$41:I49)</f>
        <v>131671.5230047869</v>
      </c>
      <c r="G50" s="114">
        <f>+D50/366*E50/100*F50</f>
        <v>2540.4689258213202</v>
      </c>
      <c r="H50" s="114">
        <f t="shared" ref="H50:H61" si="16">F$41/20</f>
        <v>10852.0095</v>
      </c>
      <c r="I50" s="115">
        <f t="shared" ref="I50:I61" si="17">G$42/20</f>
        <v>120.61741706557378</v>
      </c>
      <c r="J50" s="35"/>
    </row>
    <row r="51" spans="1:12" x14ac:dyDescent="0.2">
      <c r="A51" s="123" t="s">
        <v>106</v>
      </c>
      <c r="B51" s="110">
        <f t="shared" si="14"/>
        <v>39539</v>
      </c>
      <c r="C51" s="110">
        <v>39629</v>
      </c>
      <c r="D51" s="111">
        <f t="shared" si="15"/>
        <v>91</v>
      </c>
      <c r="E51" s="111">
        <v>6.77</v>
      </c>
      <c r="F51" s="131">
        <f>F$41+G$42-SUM(H$41:H50)-SUM(I$41:I50)</f>
        <v>120698.89608772131</v>
      </c>
      <c r="G51" s="114">
        <f>+D51/366*E51/100*F51</f>
        <v>2031.6658172885918</v>
      </c>
      <c r="H51" s="114">
        <f t="shared" si="16"/>
        <v>10852.0095</v>
      </c>
      <c r="I51" s="115">
        <f t="shared" si="17"/>
        <v>120.61741706557378</v>
      </c>
      <c r="J51" s="35"/>
    </row>
    <row r="52" spans="1:12" x14ac:dyDescent="0.2">
      <c r="A52" s="123" t="s">
        <v>107</v>
      </c>
      <c r="B52" s="110">
        <f t="shared" si="14"/>
        <v>39630</v>
      </c>
      <c r="C52" s="110">
        <v>39721</v>
      </c>
      <c r="D52" s="111">
        <f t="shared" si="15"/>
        <v>92</v>
      </c>
      <c r="E52" s="111">
        <v>5.3</v>
      </c>
      <c r="F52" s="131">
        <f>F$41+G$42-SUM(H$41:H51)-SUM(I$41:I51)</f>
        <v>109726.26917065574</v>
      </c>
      <c r="G52" s="114">
        <f>+D52/366*E52/100*F52</f>
        <v>1461.8177280768234</v>
      </c>
      <c r="H52" s="114">
        <f t="shared" si="16"/>
        <v>10852.0095</v>
      </c>
      <c r="I52" s="115">
        <f t="shared" si="17"/>
        <v>120.61741706557378</v>
      </c>
      <c r="J52" s="35"/>
    </row>
    <row r="53" spans="1:12" x14ac:dyDescent="0.2">
      <c r="A53" s="123" t="s">
        <v>100</v>
      </c>
      <c r="B53" s="110">
        <f t="shared" si="14"/>
        <v>39722</v>
      </c>
      <c r="C53" s="110">
        <v>39813</v>
      </c>
      <c r="D53" s="111">
        <f t="shared" si="15"/>
        <v>92</v>
      </c>
      <c r="E53" s="111">
        <v>5</v>
      </c>
      <c r="F53" s="131">
        <f>F$41+G$42-SUM(H$41:H52)-SUM(I$41:I52)</f>
        <v>98753.642253590166</v>
      </c>
      <c r="G53" s="114">
        <f>+D53/366*E53/100*F53</f>
        <v>1241.1659955369257</v>
      </c>
      <c r="H53" s="114">
        <f t="shared" si="16"/>
        <v>10852.0095</v>
      </c>
      <c r="I53" s="115">
        <f t="shared" si="17"/>
        <v>120.61741706557378</v>
      </c>
      <c r="J53" s="35"/>
    </row>
    <row r="54" spans="1:12" x14ac:dyDescent="0.2">
      <c r="A54" s="123" t="s">
        <v>108</v>
      </c>
      <c r="B54" s="110">
        <f t="shared" si="14"/>
        <v>39814</v>
      </c>
      <c r="C54" s="110">
        <v>39903</v>
      </c>
      <c r="D54" s="111">
        <f t="shared" si="15"/>
        <v>90</v>
      </c>
      <c r="E54" s="111">
        <v>4.5199999999999996</v>
      </c>
      <c r="F54" s="131">
        <f>F$41+G$42-SUM(H$41:H53)-SUM(I$41:I53)</f>
        <v>87781.015336524593</v>
      </c>
      <c r="G54" s="114">
        <f t="shared" ref="G54:G62" si="18">+D54/365*E54/100*F54</f>
        <v>978.33745312049871</v>
      </c>
      <c r="H54" s="114">
        <f t="shared" si="16"/>
        <v>10852.0095</v>
      </c>
      <c r="I54" s="115">
        <f t="shared" si="17"/>
        <v>120.61741706557378</v>
      </c>
      <c r="J54" s="35"/>
    </row>
    <row r="55" spans="1:12" x14ac:dyDescent="0.2">
      <c r="A55" s="123" t="s">
        <v>109</v>
      </c>
      <c r="B55" s="110">
        <f t="shared" si="14"/>
        <v>39904</v>
      </c>
      <c r="C55" s="110">
        <v>39994</v>
      </c>
      <c r="D55" s="111">
        <f t="shared" si="15"/>
        <v>91</v>
      </c>
      <c r="E55" s="111">
        <v>3.37</v>
      </c>
      <c r="F55" s="131">
        <f>F$41+G$42-SUM(H$41:H54)-SUM(I$41:I54)</f>
        <v>76808.388419459036</v>
      </c>
      <c r="G55" s="114">
        <f t="shared" si="18"/>
        <v>645.33776648206856</v>
      </c>
      <c r="H55" s="114">
        <f t="shared" si="16"/>
        <v>10852.0095</v>
      </c>
      <c r="I55" s="115">
        <f t="shared" si="17"/>
        <v>120.61741706557378</v>
      </c>
      <c r="J55" s="35"/>
    </row>
    <row r="56" spans="1:12" x14ac:dyDescent="0.2">
      <c r="A56" s="123" t="s">
        <v>111</v>
      </c>
      <c r="B56" s="110">
        <f t="shared" si="14"/>
        <v>39995</v>
      </c>
      <c r="C56" s="110">
        <v>40086</v>
      </c>
      <c r="D56" s="111">
        <f t="shared" si="15"/>
        <v>92</v>
      </c>
      <c r="E56" s="111">
        <f t="shared" ref="E56:E62" si="19">E55</f>
        <v>3.37</v>
      </c>
      <c r="F56" s="131">
        <f>F$41+G$42-SUM(H$41:H55)-SUM(I$41:I55)</f>
        <v>65835.761502393463</v>
      </c>
      <c r="G56" s="114">
        <f t="shared" si="18"/>
        <v>559.2251916767691</v>
      </c>
      <c r="H56" s="114">
        <f t="shared" si="16"/>
        <v>10852.0095</v>
      </c>
      <c r="I56" s="115">
        <f t="shared" si="17"/>
        <v>120.61741706557378</v>
      </c>
      <c r="J56" s="35"/>
    </row>
    <row r="57" spans="1:12" x14ac:dyDescent="0.2">
      <c r="A57" s="123" t="s">
        <v>101</v>
      </c>
      <c r="B57" s="110">
        <f t="shared" si="14"/>
        <v>40087</v>
      </c>
      <c r="C57" s="110">
        <v>40178</v>
      </c>
      <c r="D57" s="111">
        <f t="shared" si="15"/>
        <v>92</v>
      </c>
      <c r="E57" s="111">
        <f t="shared" si="19"/>
        <v>3.37</v>
      </c>
      <c r="F57" s="131">
        <f>F$41+G$42-SUM(H$41:H56)-SUM(I$41:I56)</f>
        <v>54863.134585327913</v>
      </c>
      <c r="G57" s="114">
        <f t="shared" si="18"/>
        <v>466.02099306397446</v>
      </c>
      <c r="H57" s="114">
        <f t="shared" si="16"/>
        <v>10852.0095</v>
      </c>
      <c r="I57" s="115">
        <f t="shared" si="17"/>
        <v>120.61741706557378</v>
      </c>
      <c r="J57" s="35"/>
    </row>
    <row r="58" spans="1:12" x14ac:dyDescent="0.2">
      <c r="A58" s="123" t="s">
        <v>112</v>
      </c>
      <c r="B58" s="110">
        <f t="shared" si="14"/>
        <v>40179</v>
      </c>
      <c r="C58" s="110">
        <v>40268</v>
      </c>
      <c r="D58" s="111">
        <f t="shared" si="15"/>
        <v>90</v>
      </c>
      <c r="E58" s="111">
        <f t="shared" si="19"/>
        <v>3.37</v>
      </c>
      <c r="F58" s="131">
        <f>F$41+G$42-SUM(H$41:H57)-SUM(I$41:I57)</f>
        <v>43890.507668262355</v>
      </c>
      <c r="G58" s="114">
        <f t="shared" si="18"/>
        <v>364.71208152832799</v>
      </c>
      <c r="H58" s="114">
        <f t="shared" si="16"/>
        <v>10852.0095</v>
      </c>
      <c r="I58" s="115">
        <f t="shared" si="17"/>
        <v>120.61741706557378</v>
      </c>
      <c r="J58" s="35"/>
    </row>
    <row r="59" spans="1:12" x14ac:dyDescent="0.2">
      <c r="A59" s="123" t="s">
        <v>113</v>
      </c>
      <c r="B59" s="110">
        <f t="shared" si="14"/>
        <v>40269</v>
      </c>
      <c r="C59" s="110">
        <v>40359</v>
      </c>
      <c r="D59" s="111">
        <f t="shared" si="15"/>
        <v>91</v>
      </c>
      <c r="E59" s="111">
        <f t="shared" si="19"/>
        <v>3.37</v>
      </c>
      <c r="F59" s="131">
        <f>F$41+G$42-SUM(H$41:H58)-SUM(I$41:I58)</f>
        <v>32917.88075119679</v>
      </c>
      <c r="G59" s="114">
        <f t="shared" si="18"/>
        <v>276.57332849231557</v>
      </c>
      <c r="H59" s="114">
        <f t="shared" si="16"/>
        <v>10852.0095</v>
      </c>
      <c r="I59" s="115">
        <f t="shared" si="17"/>
        <v>120.61741706557378</v>
      </c>
      <c r="J59" s="35"/>
    </row>
    <row r="60" spans="1:12" x14ac:dyDescent="0.2">
      <c r="A60" s="123" t="s">
        <v>114</v>
      </c>
      <c r="B60" s="110">
        <f t="shared" si="14"/>
        <v>40360</v>
      </c>
      <c r="C60" s="110">
        <v>40451</v>
      </c>
      <c r="D60" s="111">
        <f t="shared" si="15"/>
        <v>92</v>
      </c>
      <c r="E60" s="111">
        <v>3.25</v>
      </c>
      <c r="F60" s="131">
        <f>F$41+G$42-SUM(H$41:H59)-SUM(I$41:I59)</f>
        <v>21945.253834131232</v>
      </c>
      <c r="G60" s="114">
        <f t="shared" si="18"/>
        <v>179.77070949055448</v>
      </c>
      <c r="H60" s="114">
        <f t="shared" si="16"/>
        <v>10852.0095</v>
      </c>
      <c r="I60" s="115">
        <f t="shared" si="17"/>
        <v>120.61741706557378</v>
      </c>
      <c r="J60" s="35"/>
    </row>
    <row r="61" spans="1:12" x14ac:dyDescent="0.2">
      <c r="A61" s="123" t="s">
        <v>102</v>
      </c>
      <c r="B61" s="110">
        <f t="shared" si="14"/>
        <v>40452</v>
      </c>
      <c r="C61" s="110">
        <v>40543</v>
      </c>
      <c r="D61" s="111">
        <f t="shared" si="15"/>
        <v>92</v>
      </c>
      <c r="E61" s="111">
        <f t="shared" si="19"/>
        <v>3.25</v>
      </c>
      <c r="F61" s="131">
        <f>F$41+G$42-SUM(H$41:H60)-SUM(I$41:I60)</f>
        <v>10972.626917065674</v>
      </c>
      <c r="G61" s="114">
        <f t="shared" si="18"/>
        <v>89.885354745277724</v>
      </c>
      <c r="H61" s="114">
        <f t="shared" si="16"/>
        <v>10852.0095</v>
      </c>
      <c r="I61" s="115">
        <f t="shared" si="17"/>
        <v>120.61741706557378</v>
      </c>
      <c r="J61" s="35"/>
    </row>
    <row r="62" spans="1:12" x14ac:dyDescent="0.2">
      <c r="A62" s="124" t="s">
        <v>115</v>
      </c>
      <c r="B62" s="125">
        <f t="shared" si="14"/>
        <v>40544</v>
      </c>
      <c r="C62" s="125">
        <v>40633</v>
      </c>
      <c r="D62" s="126">
        <f t="shared" si="15"/>
        <v>90</v>
      </c>
      <c r="E62" s="111">
        <f t="shared" si="19"/>
        <v>3.25</v>
      </c>
      <c r="F62" s="132">
        <f>F$41+G$42-SUM(H$41:H61)-SUM(I$41:I61)</f>
        <v>1.1459633242338896E-10</v>
      </c>
      <c r="G62" s="127">
        <f t="shared" si="18"/>
        <v>9.1834047216003468E-13</v>
      </c>
      <c r="H62" s="127">
        <v>0</v>
      </c>
      <c r="I62" s="128">
        <v>0</v>
      </c>
      <c r="J62" s="35"/>
    </row>
    <row r="63" spans="1:12" x14ac:dyDescent="0.2">
      <c r="A63" s="71"/>
      <c r="B63" s="34"/>
      <c r="C63" s="34"/>
      <c r="D63" s="33"/>
      <c r="E63" s="72"/>
      <c r="F63" s="73"/>
      <c r="G63" s="74"/>
      <c r="H63" s="74"/>
      <c r="I63" s="74"/>
      <c r="J63" s="75"/>
      <c r="L63" s="55"/>
    </row>
    <row r="64" spans="1:12" x14ac:dyDescent="0.2">
      <c r="A64" s="387" t="s">
        <v>128</v>
      </c>
      <c r="B64" s="388"/>
      <c r="C64" s="388"/>
      <c r="D64" s="388"/>
      <c r="E64" s="388"/>
      <c r="F64" s="388"/>
      <c r="G64" s="388"/>
      <c r="H64" s="388"/>
      <c r="I64" s="388"/>
      <c r="J64" s="389"/>
    </row>
    <row r="65" spans="1:10" x14ac:dyDescent="0.2">
      <c r="A65" s="30" t="s">
        <v>10</v>
      </c>
      <c r="B65" s="30" t="s">
        <v>11</v>
      </c>
      <c r="C65" s="30" t="s">
        <v>12</v>
      </c>
      <c r="D65" s="30" t="s">
        <v>13</v>
      </c>
      <c r="E65" s="30" t="s">
        <v>14</v>
      </c>
      <c r="F65" s="30" t="s">
        <v>15</v>
      </c>
      <c r="G65" s="30" t="s">
        <v>16</v>
      </c>
      <c r="H65" s="30"/>
      <c r="I65" s="30"/>
      <c r="J65" s="30" t="s">
        <v>17</v>
      </c>
    </row>
    <row r="66" spans="1:10" ht="51" x14ac:dyDescent="0.2">
      <c r="A66" s="70" t="s">
        <v>18</v>
      </c>
      <c r="B66" s="70" t="s">
        <v>19</v>
      </c>
      <c r="C66" s="70" t="s">
        <v>20</v>
      </c>
      <c r="D66" s="70" t="s">
        <v>21</v>
      </c>
      <c r="E66" s="70" t="s">
        <v>22</v>
      </c>
      <c r="F66" s="70" t="s">
        <v>23</v>
      </c>
      <c r="G66" s="6" t="s">
        <v>130</v>
      </c>
      <c r="H66" s="6" t="s">
        <v>37</v>
      </c>
      <c r="I66" s="6" t="s">
        <v>131</v>
      </c>
      <c r="J66" s="70" t="s">
        <v>25</v>
      </c>
    </row>
    <row r="67" spans="1:10" x14ac:dyDescent="0.2">
      <c r="A67" s="102" t="s">
        <v>47</v>
      </c>
      <c r="B67" s="145">
        <f>B4</f>
        <v>37460</v>
      </c>
      <c r="C67" s="145">
        <v>37529</v>
      </c>
      <c r="D67" s="104">
        <f t="shared" ref="D67:D77" si="20">+C67-B67+1</f>
        <v>70</v>
      </c>
      <c r="E67" s="105">
        <v>4.75</v>
      </c>
      <c r="F67" s="106">
        <f>E4</f>
        <v>64670.5</v>
      </c>
      <c r="G67" s="107">
        <f t="shared" ref="G67:G72" si="21">+D67/365*E67/100*F67</f>
        <v>589.12167808219181</v>
      </c>
      <c r="H67" s="107"/>
      <c r="I67" s="108"/>
      <c r="J67" s="142">
        <f t="shared" ref="J67:J81" si="22">+F67+G67</f>
        <v>65259.621678082192</v>
      </c>
    </row>
    <row r="68" spans="1:10" x14ac:dyDescent="0.2">
      <c r="A68" s="109" t="s">
        <v>60</v>
      </c>
      <c r="B68" s="146">
        <v>37530</v>
      </c>
      <c r="C68" s="146">
        <v>37621</v>
      </c>
      <c r="D68" s="111">
        <f t="shared" si="20"/>
        <v>92</v>
      </c>
      <c r="E68" s="112">
        <v>4.75</v>
      </c>
      <c r="F68" s="113">
        <f t="shared" ref="F68:F75" si="23">+J67</f>
        <v>65259.621678082192</v>
      </c>
      <c r="G68" s="114">
        <f t="shared" si="21"/>
        <v>781.32752529649088</v>
      </c>
      <c r="H68" s="114"/>
      <c r="I68" s="115"/>
      <c r="J68" s="129">
        <f t="shared" si="22"/>
        <v>66040.949203378681</v>
      </c>
    </row>
    <row r="69" spans="1:10" x14ac:dyDescent="0.2">
      <c r="A69" s="109" t="s">
        <v>26</v>
      </c>
      <c r="B69" s="146">
        <v>37622</v>
      </c>
      <c r="C69" s="146">
        <v>37711</v>
      </c>
      <c r="D69" s="111">
        <f t="shared" si="20"/>
        <v>90</v>
      </c>
      <c r="E69" s="112">
        <v>4.62</v>
      </c>
      <c r="F69" s="113">
        <f t="shared" si="23"/>
        <v>66040.949203378681</v>
      </c>
      <c r="G69" s="114">
        <f t="shared" si="21"/>
        <v>752.32401859629738</v>
      </c>
      <c r="H69" s="114"/>
      <c r="I69" s="115"/>
      <c r="J69" s="129">
        <f t="shared" si="22"/>
        <v>66793.273221974974</v>
      </c>
    </row>
    <row r="70" spans="1:10" x14ac:dyDescent="0.2">
      <c r="A70" s="109" t="s">
        <v>61</v>
      </c>
      <c r="B70" s="146">
        <v>37712</v>
      </c>
      <c r="C70" s="146">
        <v>37802</v>
      </c>
      <c r="D70" s="111">
        <f t="shared" si="20"/>
        <v>91</v>
      </c>
      <c r="E70" s="112">
        <v>4.25</v>
      </c>
      <c r="F70" s="113">
        <f t="shared" si="23"/>
        <v>66793.273221974974</v>
      </c>
      <c r="G70" s="114">
        <f t="shared" si="21"/>
        <v>707.73420324928281</v>
      </c>
      <c r="H70" s="114"/>
      <c r="I70" s="115"/>
      <c r="J70" s="129">
        <f t="shared" si="22"/>
        <v>67501.007425224263</v>
      </c>
    </row>
    <row r="71" spans="1:10" x14ac:dyDescent="0.2">
      <c r="A71" s="109" t="s">
        <v>62</v>
      </c>
      <c r="B71" s="146">
        <v>37803</v>
      </c>
      <c r="C71" s="146">
        <v>37894</v>
      </c>
      <c r="D71" s="111">
        <f t="shared" si="20"/>
        <v>92</v>
      </c>
      <c r="E71" s="112">
        <v>4.25</v>
      </c>
      <c r="F71" s="113">
        <f t="shared" si="23"/>
        <v>67501.007425224263</v>
      </c>
      <c r="G71" s="114">
        <f t="shared" si="21"/>
        <v>723.09298365103257</v>
      </c>
      <c r="H71" s="114"/>
      <c r="I71" s="115"/>
      <c r="J71" s="129">
        <f t="shared" si="22"/>
        <v>68224.100408875296</v>
      </c>
    </row>
    <row r="72" spans="1:10" x14ac:dyDescent="0.2">
      <c r="A72" s="109" t="s">
        <v>29</v>
      </c>
      <c r="B72" s="146">
        <v>37895</v>
      </c>
      <c r="C72" s="146">
        <v>37986</v>
      </c>
      <c r="D72" s="111">
        <f t="shared" si="20"/>
        <v>92</v>
      </c>
      <c r="E72" s="112">
        <v>4.07</v>
      </c>
      <c r="F72" s="113">
        <f t="shared" si="23"/>
        <v>68224.100408875296</v>
      </c>
      <c r="G72" s="114">
        <f t="shared" si="21"/>
        <v>699.88581252326765</v>
      </c>
      <c r="H72" s="114"/>
      <c r="I72" s="115"/>
      <c r="J72" s="129">
        <f t="shared" si="22"/>
        <v>68923.986221398562</v>
      </c>
    </row>
    <row r="73" spans="1:10" x14ac:dyDescent="0.2">
      <c r="A73" s="109" t="s">
        <v>30</v>
      </c>
      <c r="B73" s="146">
        <v>37987</v>
      </c>
      <c r="C73" s="146">
        <v>38077</v>
      </c>
      <c r="D73" s="111">
        <f t="shared" si="20"/>
        <v>91</v>
      </c>
      <c r="E73" s="112">
        <v>4</v>
      </c>
      <c r="F73" s="113">
        <f t="shared" si="23"/>
        <v>68923.986221398562</v>
      </c>
      <c r="G73" s="114">
        <f>+D73/366*E73/100*F73</f>
        <v>685.47352416910053</v>
      </c>
      <c r="H73" s="114"/>
      <c r="I73" s="115"/>
      <c r="J73" s="129">
        <f t="shared" si="22"/>
        <v>69609.459745567656</v>
      </c>
    </row>
    <row r="74" spans="1:10" x14ac:dyDescent="0.2">
      <c r="A74" s="109" t="s">
        <v>63</v>
      </c>
      <c r="B74" s="146">
        <v>38078</v>
      </c>
      <c r="C74" s="146">
        <v>38168</v>
      </c>
      <c r="D74" s="111">
        <f t="shared" si="20"/>
        <v>91</v>
      </c>
      <c r="E74" s="112">
        <v>4</v>
      </c>
      <c r="F74" s="113">
        <f t="shared" si="23"/>
        <v>69609.459745567656</v>
      </c>
      <c r="G74" s="114">
        <f>+D74/366*E74/100*F74</f>
        <v>692.29080184116469</v>
      </c>
      <c r="H74" s="114"/>
      <c r="I74" s="115"/>
      <c r="J74" s="129">
        <f t="shared" si="22"/>
        <v>70301.750547408825</v>
      </c>
    </row>
    <row r="75" spans="1:10" x14ac:dyDescent="0.2">
      <c r="A75" s="109" t="s">
        <v>64</v>
      </c>
      <c r="B75" s="146">
        <v>38169</v>
      </c>
      <c r="C75" s="146">
        <v>38260</v>
      </c>
      <c r="D75" s="111">
        <f t="shared" si="20"/>
        <v>92</v>
      </c>
      <c r="E75" s="112">
        <v>4</v>
      </c>
      <c r="F75" s="113">
        <f t="shared" si="23"/>
        <v>70301.750547408825</v>
      </c>
      <c r="G75" s="114">
        <f>+D75/366*E75/100*F75</f>
        <v>706.85913118706139</v>
      </c>
      <c r="H75" s="114"/>
      <c r="I75" s="115"/>
      <c r="J75" s="129">
        <f t="shared" si="22"/>
        <v>71008.60967859588</v>
      </c>
    </row>
    <row r="76" spans="1:10" x14ac:dyDescent="0.2">
      <c r="A76" s="109" t="s">
        <v>32</v>
      </c>
      <c r="B76" s="110">
        <v>38261</v>
      </c>
      <c r="C76" s="110">
        <v>38352</v>
      </c>
      <c r="D76" s="111">
        <f t="shared" si="20"/>
        <v>92</v>
      </c>
      <c r="E76" s="112">
        <v>4.22</v>
      </c>
      <c r="F76" s="113">
        <f t="shared" ref="F76:F81" si="24">+J75</f>
        <v>71008.60967859588</v>
      </c>
      <c r="G76" s="114">
        <f t="shared" ref="G76:G81" si="25">+D76/366*E76/100*F76</f>
        <v>753.23449785841706</v>
      </c>
      <c r="H76" s="114"/>
      <c r="I76" s="115"/>
      <c r="J76" s="129">
        <f t="shared" si="22"/>
        <v>71761.844176454295</v>
      </c>
    </row>
    <row r="77" spans="1:10" x14ac:dyDescent="0.2">
      <c r="A77" s="109" t="s">
        <v>43</v>
      </c>
      <c r="B77" s="110">
        <v>38353</v>
      </c>
      <c r="C77" s="110">
        <v>38442</v>
      </c>
      <c r="D77" s="111">
        <f t="shared" si="20"/>
        <v>90</v>
      </c>
      <c r="E77" s="112">
        <v>4.75</v>
      </c>
      <c r="F77" s="113">
        <f t="shared" si="24"/>
        <v>71761.844176454295</v>
      </c>
      <c r="G77" s="114">
        <f t="shared" si="25"/>
        <v>838.20186845448654</v>
      </c>
      <c r="H77" s="114"/>
      <c r="I77" s="115"/>
      <c r="J77" s="129">
        <f t="shared" si="22"/>
        <v>72600.046044908784</v>
      </c>
    </row>
    <row r="78" spans="1:10" x14ac:dyDescent="0.2">
      <c r="A78" s="123" t="s">
        <v>34</v>
      </c>
      <c r="B78" s="110">
        <f>C77+1</f>
        <v>38443</v>
      </c>
      <c r="C78" s="110">
        <v>38533</v>
      </c>
      <c r="D78" s="111">
        <f>+C78-B78+1</f>
        <v>91</v>
      </c>
      <c r="E78" s="122">
        <v>5.3</v>
      </c>
      <c r="F78" s="113">
        <f t="shared" si="24"/>
        <v>72600.046044908784</v>
      </c>
      <c r="G78" s="114">
        <f t="shared" si="25"/>
        <v>956.69404938413948</v>
      </c>
      <c r="H78" s="114"/>
      <c r="I78" s="115"/>
      <c r="J78" s="129">
        <f t="shared" si="22"/>
        <v>73556.740094292923</v>
      </c>
    </row>
    <row r="79" spans="1:10" x14ac:dyDescent="0.2">
      <c r="A79" s="123" t="s">
        <v>35</v>
      </c>
      <c r="B79" s="110">
        <f>C78+1</f>
        <v>38534</v>
      </c>
      <c r="C79" s="110">
        <v>38625</v>
      </c>
      <c r="D79" s="111">
        <f>+C79-B79+1</f>
        <v>92</v>
      </c>
      <c r="E79" s="122">
        <v>5.77</v>
      </c>
      <c r="F79" s="113">
        <f t="shared" si="24"/>
        <v>73556.740094292923</v>
      </c>
      <c r="G79" s="114">
        <f t="shared" si="25"/>
        <v>1066.854095946843</v>
      </c>
      <c r="H79" s="114"/>
      <c r="I79" s="115"/>
      <c r="J79" s="129">
        <f t="shared" si="22"/>
        <v>74623.594190239761</v>
      </c>
    </row>
    <row r="80" spans="1:10" x14ac:dyDescent="0.2">
      <c r="A80" s="123" t="s">
        <v>36</v>
      </c>
      <c r="B80" s="110">
        <f>C79+1</f>
        <v>38626</v>
      </c>
      <c r="C80" s="110">
        <v>38717</v>
      </c>
      <c r="D80" s="111">
        <f>+C80-B80+1</f>
        <v>92</v>
      </c>
      <c r="E80" s="122">
        <v>6.23</v>
      </c>
      <c r="F80" s="113">
        <f t="shared" si="24"/>
        <v>74623.594190239761</v>
      </c>
      <c r="G80" s="114">
        <f t="shared" si="25"/>
        <v>1168.6136406032192</v>
      </c>
      <c r="H80" s="114"/>
      <c r="I80" s="115"/>
      <c r="J80" s="129">
        <f t="shared" si="22"/>
        <v>75792.207830842977</v>
      </c>
    </row>
    <row r="81" spans="1:10" x14ac:dyDescent="0.2">
      <c r="A81" s="109" t="s">
        <v>76</v>
      </c>
      <c r="B81" s="110">
        <f>C80+1</f>
        <v>38718</v>
      </c>
      <c r="C81" s="110">
        <v>38807</v>
      </c>
      <c r="D81" s="111">
        <f>+C81-B81+1</f>
        <v>90</v>
      </c>
      <c r="E81" s="112">
        <v>6.78</v>
      </c>
      <c r="F81" s="113">
        <f t="shared" si="24"/>
        <v>75792.207830842977</v>
      </c>
      <c r="G81" s="114">
        <f t="shared" si="25"/>
        <v>1263.6176289174971</v>
      </c>
      <c r="H81" s="114">
        <f>F$67/20</f>
        <v>3233.5250000000001</v>
      </c>
      <c r="I81" s="115">
        <f>G$82/20</f>
        <v>619.26627298802464</v>
      </c>
      <c r="J81" s="129">
        <f t="shared" si="22"/>
        <v>77055.825459760468</v>
      </c>
    </row>
    <row r="82" spans="1:10" x14ac:dyDescent="0.2">
      <c r="A82" s="109"/>
      <c r="B82" s="110"/>
      <c r="C82" s="110"/>
      <c r="D82" s="111"/>
      <c r="E82" s="390" t="s">
        <v>132</v>
      </c>
      <c r="F82" s="391"/>
      <c r="G82" s="147">
        <f>SUM(G67:G81)</f>
        <v>12385.325459760492</v>
      </c>
      <c r="H82" s="114"/>
      <c r="I82" s="115"/>
      <c r="J82" s="148"/>
    </row>
    <row r="83" spans="1:10" x14ac:dyDescent="0.2">
      <c r="A83" s="109" t="s">
        <v>77</v>
      </c>
      <c r="B83" s="110">
        <f>C81+1</f>
        <v>38808</v>
      </c>
      <c r="C83" s="110">
        <v>38898</v>
      </c>
      <c r="D83" s="111">
        <f t="shared" ref="D83:D89" si="26">+C83-B83+1</f>
        <v>91</v>
      </c>
      <c r="E83" s="112">
        <v>7.3</v>
      </c>
      <c r="F83" s="131">
        <f>F$67+G$82-SUM(H$81:H82)-SUM(I$81:I82)</f>
        <v>73203.034186772478</v>
      </c>
      <c r="G83" s="114">
        <f t="shared" ref="G83:G89" si="27">+D83/365*E83/100*F83</f>
        <v>1332.2952221992591</v>
      </c>
      <c r="H83" s="114">
        <f t="shared" ref="H83:H89" si="28">F$67/20</f>
        <v>3233.5250000000001</v>
      </c>
      <c r="I83" s="116">
        <f t="shared" ref="I83:I89" si="29">G$82/20</f>
        <v>619.26627298802464</v>
      </c>
      <c r="J83" s="137"/>
    </row>
    <row r="84" spans="1:10" x14ac:dyDescent="0.2">
      <c r="A84" s="109" t="s">
        <v>78</v>
      </c>
      <c r="B84" s="110">
        <f t="shared" ref="B84:B102" si="30">C83+1</f>
        <v>38899</v>
      </c>
      <c r="C84" s="110">
        <v>38990</v>
      </c>
      <c r="D84" s="111">
        <f t="shared" si="26"/>
        <v>92</v>
      </c>
      <c r="E84" s="111">
        <v>7.74</v>
      </c>
      <c r="F84" s="131">
        <f>F$67+G$82-SUM(H$81:H83)-SUM(I$81:I83)</f>
        <v>69350.242913784445</v>
      </c>
      <c r="G84" s="114">
        <f t="shared" si="27"/>
        <v>1352.9567390150037</v>
      </c>
      <c r="H84" s="114">
        <f t="shared" si="28"/>
        <v>3233.5250000000001</v>
      </c>
      <c r="I84" s="116">
        <f t="shared" si="29"/>
        <v>619.26627298802464</v>
      </c>
      <c r="J84" s="137"/>
    </row>
    <row r="85" spans="1:10" x14ac:dyDescent="0.2">
      <c r="A85" s="109" t="s">
        <v>79</v>
      </c>
      <c r="B85" s="110">
        <f t="shared" si="30"/>
        <v>38991</v>
      </c>
      <c r="C85" s="110">
        <v>39082</v>
      </c>
      <c r="D85" s="111">
        <f t="shared" si="26"/>
        <v>92</v>
      </c>
      <c r="E85" s="111">
        <v>8.17</v>
      </c>
      <c r="F85" s="131">
        <f>F$67+G$82-SUM(H$81:H84)-SUM(I$81:I84)</f>
        <v>65497.451640796426</v>
      </c>
      <c r="G85" s="114">
        <f t="shared" si="27"/>
        <v>1348.7809466106364</v>
      </c>
      <c r="H85" s="114">
        <f t="shared" si="28"/>
        <v>3233.5250000000001</v>
      </c>
      <c r="I85" s="116">
        <f t="shared" si="29"/>
        <v>619.26627298802464</v>
      </c>
      <c r="J85" s="137"/>
    </row>
    <row r="86" spans="1:10" x14ac:dyDescent="0.2">
      <c r="A86" s="109" t="s">
        <v>80</v>
      </c>
      <c r="B86" s="110">
        <f t="shared" si="30"/>
        <v>39083</v>
      </c>
      <c r="C86" s="110">
        <v>39172</v>
      </c>
      <c r="D86" s="111">
        <f t="shared" si="26"/>
        <v>90</v>
      </c>
      <c r="E86" s="111">
        <v>8.25</v>
      </c>
      <c r="F86" s="131">
        <f>F$67+G$82-SUM(H$81:H85)-SUM(I$81:I85)</f>
        <v>61644.660367808399</v>
      </c>
      <c r="G86" s="114">
        <f t="shared" si="27"/>
        <v>1254.0043924136367</v>
      </c>
      <c r="H86" s="114">
        <f t="shared" si="28"/>
        <v>3233.5250000000001</v>
      </c>
      <c r="I86" s="116">
        <f t="shared" si="29"/>
        <v>619.26627298802464</v>
      </c>
      <c r="J86" s="137"/>
    </row>
    <row r="87" spans="1:10" x14ac:dyDescent="0.2">
      <c r="A87" s="109" t="s">
        <v>81</v>
      </c>
      <c r="B87" s="110">
        <f t="shared" si="30"/>
        <v>39173</v>
      </c>
      <c r="C87" s="110">
        <v>39263</v>
      </c>
      <c r="D87" s="111">
        <f t="shared" si="26"/>
        <v>91</v>
      </c>
      <c r="E87" s="111">
        <v>8.25</v>
      </c>
      <c r="F87" s="131">
        <f>F$67+G$82-SUM(H$81:H86)-SUM(I$81:I86)</f>
        <v>57791.869094820373</v>
      </c>
      <c r="G87" s="114">
        <f t="shared" si="27"/>
        <v>1188.6916636420931</v>
      </c>
      <c r="H87" s="114">
        <f t="shared" si="28"/>
        <v>3233.5250000000001</v>
      </c>
      <c r="I87" s="116">
        <f t="shared" si="29"/>
        <v>619.26627298802464</v>
      </c>
      <c r="J87" s="137"/>
    </row>
    <row r="88" spans="1:10" x14ac:dyDescent="0.2">
      <c r="A88" s="109" t="s">
        <v>82</v>
      </c>
      <c r="B88" s="110">
        <f t="shared" si="30"/>
        <v>39264</v>
      </c>
      <c r="C88" s="110">
        <v>39355</v>
      </c>
      <c r="D88" s="111">
        <f t="shared" si="26"/>
        <v>92</v>
      </c>
      <c r="E88" s="111">
        <v>8.25</v>
      </c>
      <c r="F88" s="131">
        <f>F$67+G$82-SUM(H$81:H87)-SUM(I$81:I87)</f>
        <v>53939.077821832347</v>
      </c>
      <c r="G88" s="114">
        <f t="shared" si="27"/>
        <v>1121.6372621033083</v>
      </c>
      <c r="H88" s="114">
        <f t="shared" si="28"/>
        <v>3233.5250000000001</v>
      </c>
      <c r="I88" s="116">
        <f t="shared" si="29"/>
        <v>619.26627298802464</v>
      </c>
      <c r="J88" s="137"/>
    </row>
    <row r="89" spans="1:10" x14ac:dyDescent="0.2">
      <c r="A89" s="123" t="s">
        <v>83</v>
      </c>
      <c r="B89" s="110">
        <f t="shared" si="30"/>
        <v>39356</v>
      </c>
      <c r="C89" s="110">
        <v>39447</v>
      </c>
      <c r="D89" s="111">
        <f t="shared" si="26"/>
        <v>92</v>
      </c>
      <c r="E89" s="111">
        <v>8.25</v>
      </c>
      <c r="F89" s="131">
        <f>F$67+G$82-SUM(H$81:H88)-SUM(I$81:I88)</f>
        <v>50086.28654884432</v>
      </c>
      <c r="G89" s="114">
        <f t="shared" si="27"/>
        <v>1041.5203148102148</v>
      </c>
      <c r="H89" s="114">
        <f t="shared" si="28"/>
        <v>3233.5250000000001</v>
      </c>
      <c r="I89" s="116">
        <f t="shared" si="29"/>
        <v>619.26627298802464</v>
      </c>
      <c r="J89" s="137"/>
    </row>
    <row r="90" spans="1:10" x14ac:dyDescent="0.2">
      <c r="A90" s="123" t="s">
        <v>105</v>
      </c>
      <c r="B90" s="110">
        <f t="shared" si="30"/>
        <v>39448</v>
      </c>
      <c r="C90" s="110">
        <v>39538</v>
      </c>
      <c r="D90" s="111">
        <f t="shared" ref="D90:D102" si="31">+C90-B90+1</f>
        <v>91</v>
      </c>
      <c r="E90" s="111">
        <v>7.76</v>
      </c>
      <c r="F90" s="131">
        <f>F$67+G$82-SUM(H$81:H89)-SUM(I$81:I89)</f>
        <v>46233.495275856294</v>
      </c>
      <c r="G90" s="114">
        <f>+D90/366*E90/100*F90</f>
        <v>892.02855256827002</v>
      </c>
      <c r="H90" s="114">
        <f t="shared" ref="H90:H101" si="32">F$67/20</f>
        <v>3233.5250000000001</v>
      </c>
      <c r="I90" s="115">
        <f t="shared" ref="I90:I101" si="33">G$82/20</f>
        <v>619.26627298802464</v>
      </c>
    </row>
    <row r="91" spans="1:10" x14ac:dyDescent="0.2">
      <c r="A91" s="123" t="s">
        <v>106</v>
      </c>
      <c r="B91" s="110">
        <f t="shared" si="30"/>
        <v>39539</v>
      </c>
      <c r="C91" s="110">
        <v>39629</v>
      </c>
      <c r="D91" s="111">
        <f t="shared" si="31"/>
        <v>91</v>
      </c>
      <c r="E91" s="111">
        <v>6.77</v>
      </c>
      <c r="F91" s="131">
        <f>F$67+G$82-SUM(H$81:H90)-SUM(I$81:I90)</f>
        <v>42380.704002868268</v>
      </c>
      <c r="G91" s="114">
        <f>+D91/366*E91/100*F91</f>
        <v>713.37377909964619</v>
      </c>
      <c r="H91" s="114">
        <f t="shared" si="32"/>
        <v>3233.5250000000001</v>
      </c>
      <c r="I91" s="115">
        <f t="shared" si="33"/>
        <v>619.26627298802464</v>
      </c>
    </row>
    <row r="92" spans="1:10" x14ac:dyDescent="0.2">
      <c r="A92" s="123" t="s">
        <v>107</v>
      </c>
      <c r="B92" s="110">
        <f t="shared" si="30"/>
        <v>39630</v>
      </c>
      <c r="C92" s="110">
        <v>39721</v>
      </c>
      <c r="D92" s="111">
        <f t="shared" si="31"/>
        <v>92</v>
      </c>
      <c r="E92" s="111">
        <v>5.3</v>
      </c>
      <c r="F92" s="131">
        <f>F$67+G$82-SUM(H$81:H91)-SUM(I$81:I91)</f>
        <v>38527.912729880241</v>
      </c>
      <c r="G92" s="114">
        <f>+D92/366*E92/100*F92</f>
        <v>513.2844329805904</v>
      </c>
      <c r="H92" s="114">
        <f t="shared" si="32"/>
        <v>3233.5250000000001</v>
      </c>
      <c r="I92" s="115">
        <f t="shared" si="33"/>
        <v>619.26627298802464</v>
      </c>
    </row>
    <row r="93" spans="1:10" x14ac:dyDescent="0.2">
      <c r="A93" s="123" t="s">
        <v>100</v>
      </c>
      <c r="B93" s="110">
        <f t="shared" si="30"/>
        <v>39722</v>
      </c>
      <c r="C93" s="110">
        <v>39813</v>
      </c>
      <c r="D93" s="111">
        <f t="shared" si="31"/>
        <v>92</v>
      </c>
      <c r="E93" s="111">
        <v>5</v>
      </c>
      <c r="F93" s="131">
        <f>F$67+G$82-SUM(H$81:H92)-SUM(I$81:I92)</f>
        <v>34675.121456892215</v>
      </c>
      <c r="G93" s="114">
        <f>+D93/366*E93/100*F93</f>
        <v>435.80753743635023</v>
      </c>
      <c r="H93" s="114">
        <f t="shared" si="32"/>
        <v>3233.5250000000001</v>
      </c>
      <c r="I93" s="115">
        <f t="shared" si="33"/>
        <v>619.26627298802464</v>
      </c>
    </row>
    <row r="94" spans="1:10" x14ac:dyDescent="0.2">
      <c r="A94" s="123" t="s">
        <v>108</v>
      </c>
      <c r="B94" s="110">
        <f t="shared" si="30"/>
        <v>39814</v>
      </c>
      <c r="C94" s="110">
        <v>39903</v>
      </c>
      <c r="D94" s="111">
        <f t="shared" si="31"/>
        <v>90</v>
      </c>
      <c r="E94" s="111">
        <v>4.5199999999999996</v>
      </c>
      <c r="F94" s="131">
        <f>F$67+G$82-SUM(H$81:H93)-SUM(I$81:I93)</f>
        <v>30822.330183904189</v>
      </c>
      <c r="G94" s="114">
        <f t="shared" ref="G94:G102" si="34">+D94/365*E94/100*F94</f>
        <v>343.52120325512942</v>
      </c>
      <c r="H94" s="114">
        <f t="shared" si="32"/>
        <v>3233.5250000000001</v>
      </c>
      <c r="I94" s="115">
        <f t="shared" si="33"/>
        <v>619.26627298802464</v>
      </c>
    </row>
    <row r="95" spans="1:10" x14ac:dyDescent="0.2">
      <c r="A95" s="123" t="s">
        <v>109</v>
      </c>
      <c r="B95" s="110">
        <f t="shared" si="30"/>
        <v>39904</v>
      </c>
      <c r="C95" s="110">
        <v>39994</v>
      </c>
      <c r="D95" s="111">
        <f t="shared" si="31"/>
        <v>91</v>
      </c>
      <c r="E95" s="111">
        <v>3.37</v>
      </c>
      <c r="F95" s="131">
        <f>F$67+G$82-SUM(H$81:H94)-SUM(I$81:I94)</f>
        <v>26969.538910916162</v>
      </c>
      <c r="G95" s="114">
        <f t="shared" si="34"/>
        <v>226.59584925508653</v>
      </c>
      <c r="H95" s="114">
        <f t="shared" si="32"/>
        <v>3233.5250000000001</v>
      </c>
      <c r="I95" s="115">
        <f t="shared" si="33"/>
        <v>619.26627298802464</v>
      </c>
    </row>
    <row r="96" spans="1:10" x14ac:dyDescent="0.2">
      <c r="A96" s="123" t="s">
        <v>111</v>
      </c>
      <c r="B96" s="110">
        <f t="shared" si="30"/>
        <v>39995</v>
      </c>
      <c r="C96" s="110">
        <v>40086</v>
      </c>
      <c r="D96" s="111">
        <f t="shared" si="31"/>
        <v>92</v>
      </c>
      <c r="E96" s="111">
        <f t="shared" ref="E96:E102" si="35">E95</f>
        <v>3.37</v>
      </c>
      <c r="F96" s="131">
        <f>F$67+G$82-SUM(H$81:H95)-SUM(I$81:I95)</f>
        <v>23116.747637928136</v>
      </c>
      <c r="G96" s="114">
        <f t="shared" si="34"/>
        <v>196.35935445652714</v>
      </c>
      <c r="H96" s="114">
        <f t="shared" si="32"/>
        <v>3233.5250000000001</v>
      </c>
      <c r="I96" s="115">
        <f t="shared" si="33"/>
        <v>619.26627298802464</v>
      </c>
    </row>
    <row r="97" spans="1:10" x14ac:dyDescent="0.2">
      <c r="A97" s="123" t="s">
        <v>101</v>
      </c>
      <c r="B97" s="110">
        <f t="shared" si="30"/>
        <v>40087</v>
      </c>
      <c r="C97" s="110">
        <v>40178</v>
      </c>
      <c r="D97" s="111">
        <f t="shared" si="31"/>
        <v>92</v>
      </c>
      <c r="E97" s="111">
        <f t="shared" si="35"/>
        <v>3.37</v>
      </c>
      <c r="F97" s="131">
        <f>F$67+G$82-SUM(H$81:H96)-SUM(I$81:I96)</f>
        <v>19263.95636494011</v>
      </c>
      <c r="G97" s="114">
        <f t="shared" si="34"/>
        <v>163.63279538043923</v>
      </c>
      <c r="H97" s="114">
        <f t="shared" si="32"/>
        <v>3233.5250000000001</v>
      </c>
      <c r="I97" s="115">
        <f t="shared" si="33"/>
        <v>619.26627298802464</v>
      </c>
    </row>
    <row r="98" spans="1:10" x14ac:dyDescent="0.2">
      <c r="A98" s="123" t="s">
        <v>112</v>
      </c>
      <c r="B98" s="110">
        <f t="shared" si="30"/>
        <v>40179</v>
      </c>
      <c r="C98" s="110">
        <v>40268</v>
      </c>
      <c r="D98" s="111">
        <f t="shared" si="31"/>
        <v>90</v>
      </c>
      <c r="E98" s="111">
        <f t="shared" si="35"/>
        <v>3.37</v>
      </c>
      <c r="F98" s="131">
        <f>F$67+G$82-SUM(H$81:H97)-SUM(I$81:I97)</f>
        <v>15411.165091952085</v>
      </c>
      <c r="G98" s="114">
        <f t="shared" si="34"/>
        <v>128.06044855860458</v>
      </c>
      <c r="H98" s="114">
        <f t="shared" si="32"/>
        <v>3233.5250000000001</v>
      </c>
      <c r="I98" s="115">
        <f t="shared" si="33"/>
        <v>619.26627298802464</v>
      </c>
    </row>
    <row r="99" spans="1:10" x14ac:dyDescent="0.2">
      <c r="A99" s="123" t="s">
        <v>113</v>
      </c>
      <c r="B99" s="110">
        <f t="shared" si="30"/>
        <v>40269</v>
      </c>
      <c r="C99" s="110">
        <v>40359</v>
      </c>
      <c r="D99" s="111">
        <f t="shared" si="31"/>
        <v>91</v>
      </c>
      <c r="E99" s="111">
        <f t="shared" si="35"/>
        <v>3.37</v>
      </c>
      <c r="F99" s="131">
        <f>F$67+G$82-SUM(H$81:H98)-SUM(I$81:I98)</f>
        <v>11558.373818964059</v>
      </c>
      <c r="G99" s="114">
        <f t="shared" si="34"/>
        <v>97.112506823608427</v>
      </c>
      <c r="H99" s="114">
        <f t="shared" si="32"/>
        <v>3233.5250000000001</v>
      </c>
      <c r="I99" s="115">
        <f t="shared" si="33"/>
        <v>619.26627298802464</v>
      </c>
    </row>
    <row r="100" spans="1:10" x14ac:dyDescent="0.2">
      <c r="A100" s="123" t="s">
        <v>114</v>
      </c>
      <c r="B100" s="110">
        <f t="shared" si="30"/>
        <v>40360</v>
      </c>
      <c r="C100" s="110">
        <v>40451</v>
      </c>
      <c r="D100" s="111">
        <f t="shared" si="31"/>
        <v>92</v>
      </c>
      <c r="E100" s="111">
        <v>3.25</v>
      </c>
      <c r="F100" s="131">
        <f>F$67+G$82-SUM(H$81:H99)-SUM(I$81:I99)</f>
        <v>7705.5825459760326</v>
      </c>
      <c r="G100" s="114">
        <f t="shared" si="34"/>
        <v>63.122443321831071</v>
      </c>
      <c r="H100" s="114">
        <f t="shared" si="32"/>
        <v>3233.5250000000001</v>
      </c>
      <c r="I100" s="115">
        <f t="shared" si="33"/>
        <v>619.26627298802464</v>
      </c>
    </row>
    <row r="101" spans="1:10" x14ac:dyDescent="0.2">
      <c r="A101" s="123" t="s">
        <v>102</v>
      </c>
      <c r="B101" s="110">
        <f t="shared" si="30"/>
        <v>40452</v>
      </c>
      <c r="C101" s="110">
        <v>40543</v>
      </c>
      <c r="D101" s="111">
        <f t="shared" si="31"/>
        <v>92</v>
      </c>
      <c r="E101" s="111">
        <f t="shared" si="35"/>
        <v>3.25</v>
      </c>
      <c r="F101" s="131">
        <f>F$67+G$82-SUM(H$81:H100)-SUM(I$81:I100)</f>
        <v>3852.7912729880063</v>
      </c>
      <c r="G101" s="114">
        <f t="shared" si="34"/>
        <v>31.561221660915454</v>
      </c>
      <c r="H101" s="114">
        <f t="shared" si="32"/>
        <v>3233.5250000000001</v>
      </c>
      <c r="I101" s="115">
        <f t="shared" si="33"/>
        <v>619.26627298802464</v>
      </c>
    </row>
    <row r="102" spans="1:10" x14ac:dyDescent="0.2">
      <c r="A102" s="124" t="s">
        <v>115</v>
      </c>
      <c r="B102" s="125">
        <f t="shared" si="30"/>
        <v>40544</v>
      </c>
      <c r="C102" s="125">
        <v>40633</v>
      </c>
      <c r="D102" s="126">
        <f t="shared" si="31"/>
        <v>90</v>
      </c>
      <c r="E102" s="111">
        <f t="shared" si="35"/>
        <v>3.25</v>
      </c>
      <c r="F102" s="132">
        <f>F$67+G$82-SUM(H$81:H101)-SUM(I$81:I101)</f>
        <v>-2.0008883439004421E-11</v>
      </c>
      <c r="G102" s="127">
        <f t="shared" si="34"/>
        <v>-1.6034516180572034E-13</v>
      </c>
      <c r="H102" s="127">
        <v>0</v>
      </c>
      <c r="I102" s="128">
        <v>0</v>
      </c>
    </row>
    <row r="103" spans="1:10" x14ac:dyDescent="0.2">
      <c r="G103" s="55"/>
      <c r="I103" s="55"/>
      <c r="J103" s="55"/>
    </row>
  </sheetData>
  <customSheetViews>
    <customSheetView guid="{6086CA2F-D319-4FB4-8773-987A9787386E}" scale="75" showRuler="0" topLeftCell="A20">
      <selection sqref="A1:IV65536"/>
      <rowBreaks count="2" manualBreakCount="2">
        <brk id="36" max="16383" man="1"/>
        <brk id="63" max="16383" man="1"/>
      </rowBreaks>
      <pageMargins left="0.75" right="0.75" top="1" bottom="1" header="0.5" footer="0.5"/>
      <pageSetup scale="67" orientation="landscape" r:id="rId1"/>
      <headerFooter alignWithMargins="0">
        <oddFooter>&amp;L&amp;D&amp;R&amp;A</oddFooter>
      </headerFooter>
    </customSheetView>
  </customSheetViews>
  <mergeCells count="8">
    <mergeCell ref="A64:J64"/>
    <mergeCell ref="E82:F82"/>
    <mergeCell ref="E42:F42"/>
    <mergeCell ref="C2:F2"/>
    <mergeCell ref="A12:J12"/>
    <mergeCell ref="E16:F16"/>
    <mergeCell ref="A38:J38"/>
    <mergeCell ref="A9:B9"/>
  </mergeCells>
  <phoneticPr fontId="2" type="noConversion"/>
  <pageMargins left="0.5" right="0.5" top="1" bottom="0.89" header="0.5" footer="0.5"/>
  <pageSetup scale="61" orientation="landscape" r:id="rId2"/>
  <headerFooter alignWithMargins="0">
    <oddHeader>&amp;C&amp;A&amp;RAttachment 4
WP-Schedule 22 
&amp;P of &amp;N</oddHeader>
  </headerFooter>
  <rowBreaks count="2" manualBreakCount="2">
    <brk id="36" max="16383" man="1"/>
    <brk id="6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 enableFormatConditionsCalculation="0">
    <tabColor theme="0" tint="-4.9989318521683403E-2"/>
  </sheetPr>
  <dimension ref="A1:J586"/>
  <sheetViews>
    <sheetView view="pageBreakPreview" topLeftCell="A531" zoomScale="60" zoomScaleNormal="85" workbookViewId="0">
      <selection activeCell="F47" sqref="F47"/>
    </sheetView>
  </sheetViews>
  <sheetFormatPr defaultRowHeight="12.75" x14ac:dyDescent="0.2"/>
  <cols>
    <col min="1" max="1" width="12.140625" style="22" customWidth="1"/>
    <col min="2" max="6" width="17.28515625" style="22" customWidth="1"/>
    <col min="7" max="7" width="15.42578125" style="22" customWidth="1"/>
    <col min="8" max="8" width="13.140625" style="22" customWidth="1"/>
    <col min="9" max="9" width="12.5703125" style="22" customWidth="1"/>
    <col min="10" max="10" width="14.28515625" style="22" customWidth="1"/>
    <col min="11" max="11" width="16.5703125" style="22" customWidth="1"/>
    <col min="12" max="16384" width="9.140625" style="22"/>
  </cols>
  <sheetData>
    <row r="1" spans="1:6" x14ac:dyDescent="0.2">
      <c r="A1" s="42"/>
      <c r="B1" s="27"/>
      <c r="C1" s="76"/>
      <c r="D1" s="76"/>
      <c r="E1" s="76"/>
      <c r="F1" s="76"/>
    </row>
    <row r="2" spans="1:6" ht="14.25" x14ac:dyDescent="0.2">
      <c r="A2" s="57" t="s">
        <v>120</v>
      </c>
      <c r="B2" s="58"/>
      <c r="C2" s="392" t="s">
        <v>6</v>
      </c>
      <c r="D2" s="392"/>
      <c r="E2" s="392"/>
      <c r="F2" s="392"/>
    </row>
    <row r="3" spans="1:6" x14ac:dyDescent="0.2">
      <c r="B3" s="27"/>
      <c r="C3" s="76"/>
      <c r="D3" s="76"/>
      <c r="E3" s="76"/>
      <c r="F3" s="76"/>
    </row>
    <row r="4" spans="1:6" ht="25.5" x14ac:dyDescent="0.2">
      <c r="A4" s="48"/>
      <c r="B4" s="20" t="s">
        <v>8</v>
      </c>
      <c r="C4" s="27" t="s">
        <v>7</v>
      </c>
      <c r="D4" s="27" t="s">
        <v>1</v>
      </c>
      <c r="E4" s="27" t="s">
        <v>121</v>
      </c>
      <c r="F4" s="27" t="s">
        <v>0</v>
      </c>
    </row>
    <row r="5" spans="1:6" x14ac:dyDescent="0.2">
      <c r="A5" s="23">
        <v>1</v>
      </c>
      <c r="B5" s="77">
        <v>37098</v>
      </c>
      <c r="C5" s="78">
        <v>94210</v>
      </c>
      <c r="D5" s="78">
        <v>25088.123</v>
      </c>
      <c r="E5" s="78">
        <v>0</v>
      </c>
      <c r="F5" s="78">
        <f>SUM(C5:E5)</f>
        <v>119298.12299999999</v>
      </c>
    </row>
    <row r="6" spans="1:6" x14ac:dyDescent="0.2">
      <c r="A6" s="23">
        <v>2</v>
      </c>
      <c r="B6" s="77">
        <v>37169</v>
      </c>
      <c r="C6" s="78">
        <v>623763</v>
      </c>
      <c r="D6" s="78">
        <v>166108.08689999999</v>
      </c>
      <c r="E6" s="78">
        <v>0</v>
      </c>
      <c r="F6" s="78">
        <f t="shared" ref="F6:F34" si="0">SUM(C6:E6)</f>
        <v>789871.08689999999</v>
      </c>
    </row>
    <row r="7" spans="1:6" x14ac:dyDescent="0.2">
      <c r="A7" s="23">
        <v>3</v>
      </c>
      <c r="B7" s="77">
        <v>37179</v>
      </c>
      <c r="C7" s="78">
        <v>624523</v>
      </c>
      <c r="D7" s="78">
        <v>166310.4749</v>
      </c>
      <c r="E7" s="78">
        <v>0</v>
      </c>
      <c r="F7" s="78">
        <f t="shared" si="0"/>
        <v>790833.47490000003</v>
      </c>
    </row>
    <row r="8" spans="1:6" x14ac:dyDescent="0.2">
      <c r="A8" s="23">
        <v>4</v>
      </c>
      <c r="B8" s="77">
        <v>37210</v>
      </c>
      <c r="C8" s="78">
        <v>725571</v>
      </c>
      <c r="D8" s="78">
        <v>193219.55729999999</v>
      </c>
      <c r="E8" s="78">
        <v>0</v>
      </c>
      <c r="F8" s="78">
        <f t="shared" si="0"/>
        <v>918790.55729999999</v>
      </c>
    </row>
    <row r="9" spans="1:6" x14ac:dyDescent="0.2">
      <c r="A9" s="23">
        <v>5</v>
      </c>
      <c r="B9" s="77">
        <v>37239</v>
      </c>
      <c r="C9" s="78">
        <v>377601</v>
      </c>
      <c r="D9" s="78">
        <v>100555.14629999999</v>
      </c>
      <c r="E9" s="78">
        <v>0</v>
      </c>
      <c r="F9" s="78">
        <f t="shared" si="0"/>
        <v>478156.14630000002</v>
      </c>
    </row>
    <row r="10" spans="1:6" x14ac:dyDescent="0.2">
      <c r="A10" s="23">
        <v>6</v>
      </c>
      <c r="B10" s="77">
        <v>37271</v>
      </c>
      <c r="C10" s="78">
        <v>240787</v>
      </c>
      <c r="D10" s="78">
        <v>64121.578099999999</v>
      </c>
      <c r="E10" s="78">
        <v>0</v>
      </c>
      <c r="F10" s="78">
        <f t="shared" si="0"/>
        <v>304908.57809999998</v>
      </c>
    </row>
    <row r="11" spans="1:6" x14ac:dyDescent="0.2">
      <c r="A11" s="23" t="s">
        <v>5</v>
      </c>
      <c r="B11" s="49">
        <v>37302</v>
      </c>
      <c r="C11" s="78">
        <v>216844</v>
      </c>
      <c r="D11" s="78">
        <v>57745.557199999996</v>
      </c>
      <c r="E11" s="78">
        <v>0</v>
      </c>
      <c r="F11" s="78">
        <f t="shared" si="0"/>
        <v>274589.55719999998</v>
      </c>
    </row>
    <row r="12" spans="1:6" x14ac:dyDescent="0.2">
      <c r="A12" s="23">
        <v>8</v>
      </c>
      <c r="B12" s="77">
        <v>37330</v>
      </c>
      <c r="C12" s="78">
        <v>204507</v>
      </c>
      <c r="D12" s="78">
        <v>54460.214099999997</v>
      </c>
      <c r="E12" s="78">
        <v>0</v>
      </c>
      <c r="F12" s="78">
        <f t="shared" si="0"/>
        <v>258967.21409999998</v>
      </c>
    </row>
    <row r="13" spans="1:6" x14ac:dyDescent="0.2">
      <c r="A13" s="23">
        <v>9</v>
      </c>
      <c r="B13" s="77">
        <v>37377</v>
      </c>
      <c r="C13" s="78">
        <v>0</v>
      </c>
      <c r="D13" s="78">
        <v>0</v>
      </c>
      <c r="E13" s="78">
        <v>320658</v>
      </c>
      <c r="F13" s="78">
        <f t="shared" si="0"/>
        <v>320658</v>
      </c>
    </row>
    <row r="14" spans="1:6" x14ac:dyDescent="0.2">
      <c r="A14" s="23">
        <v>10</v>
      </c>
      <c r="B14" s="77">
        <v>37411</v>
      </c>
      <c r="C14" s="78">
        <v>229880</v>
      </c>
      <c r="D14" s="78">
        <v>61217.043999999994</v>
      </c>
      <c r="E14" s="78">
        <v>32711</v>
      </c>
      <c r="F14" s="78">
        <f t="shared" si="0"/>
        <v>323808.04399999999</v>
      </c>
    </row>
    <row r="15" spans="1:6" x14ac:dyDescent="0.2">
      <c r="A15" s="23">
        <v>11</v>
      </c>
      <c r="B15" s="77">
        <v>37438</v>
      </c>
      <c r="C15" s="78">
        <v>134768</v>
      </c>
      <c r="D15" s="78">
        <v>35888.718399999998</v>
      </c>
      <c r="E15" s="78">
        <v>0</v>
      </c>
      <c r="F15" s="78">
        <f t="shared" si="0"/>
        <v>170656.71840000001</v>
      </c>
    </row>
    <row r="16" spans="1:6" x14ac:dyDescent="0.2">
      <c r="A16" s="23">
        <v>12</v>
      </c>
      <c r="B16" s="77">
        <v>37469</v>
      </c>
      <c r="C16" s="78">
        <v>0</v>
      </c>
      <c r="D16" s="78">
        <v>0</v>
      </c>
      <c r="E16" s="78">
        <v>0</v>
      </c>
      <c r="F16" s="78">
        <f t="shared" si="0"/>
        <v>0</v>
      </c>
    </row>
    <row r="17" spans="1:6" x14ac:dyDescent="0.2">
      <c r="A17" s="23">
        <v>13</v>
      </c>
      <c r="B17" s="77">
        <v>37483</v>
      </c>
      <c r="C17" s="78">
        <v>22877</v>
      </c>
      <c r="D17" s="78">
        <v>6092.1450999999997</v>
      </c>
      <c r="E17" s="78">
        <v>211</v>
      </c>
      <c r="F17" s="78">
        <f t="shared" si="0"/>
        <v>29180.145100000002</v>
      </c>
    </row>
    <row r="18" spans="1:6" x14ac:dyDescent="0.2">
      <c r="A18" s="23">
        <v>14</v>
      </c>
      <c r="B18" s="77">
        <v>37500</v>
      </c>
      <c r="C18" s="78">
        <v>1231743</v>
      </c>
      <c r="D18" s="78">
        <v>328013.16089999996</v>
      </c>
      <c r="E18" s="78">
        <v>150581</v>
      </c>
      <c r="F18" s="78">
        <f t="shared" si="0"/>
        <v>1710337.1609</v>
      </c>
    </row>
    <row r="19" spans="1:6" x14ac:dyDescent="0.2">
      <c r="A19" s="23">
        <v>15</v>
      </c>
      <c r="B19" s="77">
        <v>37530</v>
      </c>
      <c r="C19" s="78">
        <v>769604</v>
      </c>
      <c r="D19" s="78">
        <v>204945.54519999999</v>
      </c>
      <c r="E19" s="78">
        <v>5581</v>
      </c>
      <c r="F19" s="78">
        <f t="shared" si="0"/>
        <v>980130.54520000005</v>
      </c>
    </row>
    <row r="20" spans="1:6" x14ac:dyDescent="0.2">
      <c r="A20" s="23">
        <v>16</v>
      </c>
      <c r="B20" s="77">
        <v>37544</v>
      </c>
      <c r="C20" s="78">
        <v>334353</v>
      </c>
      <c r="D20" s="78">
        <v>89038.203899999993</v>
      </c>
      <c r="E20" s="78">
        <v>3407</v>
      </c>
      <c r="F20" s="78">
        <f t="shared" si="0"/>
        <v>426798.20389999996</v>
      </c>
    </row>
    <row r="21" spans="1:6" x14ac:dyDescent="0.2">
      <c r="A21" s="23">
        <v>17</v>
      </c>
      <c r="B21" s="77">
        <v>37575</v>
      </c>
      <c r="C21" s="78">
        <v>52483</v>
      </c>
      <c r="D21" s="78">
        <v>13976.222899999999</v>
      </c>
      <c r="E21" s="78">
        <v>164610</v>
      </c>
      <c r="F21" s="78">
        <f t="shared" si="0"/>
        <v>231069.22289999999</v>
      </c>
    </row>
    <row r="22" spans="1:6" x14ac:dyDescent="0.2">
      <c r="A22" s="23">
        <v>18</v>
      </c>
      <c r="B22" s="77">
        <v>37909</v>
      </c>
      <c r="C22" s="78">
        <v>1555407</v>
      </c>
      <c r="D22" s="78">
        <v>414204.88409999997</v>
      </c>
      <c r="E22" s="78">
        <v>0</v>
      </c>
      <c r="F22" s="78">
        <f t="shared" si="0"/>
        <v>1969611.8840999999</v>
      </c>
    </row>
    <row r="23" spans="1:6" x14ac:dyDescent="0.2">
      <c r="A23" s="23">
        <v>19</v>
      </c>
      <c r="B23" s="77">
        <v>38092</v>
      </c>
      <c r="C23" s="78">
        <v>431507</v>
      </c>
      <c r="D23" s="78">
        <v>114910.31409999999</v>
      </c>
      <c r="E23" s="78">
        <v>0</v>
      </c>
      <c r="F23" s="78">
        <f t="shared" si="0"/>
        <v>546417.31409999996</v>
      </c>
    </row>
    <row r="24" spans="1:6" x14ac:dyDescent="0.2">
      <c r="A24" s="23">
        <v>19</v>
      </c>
      <c r="B24" s="77">
        <v>38092</v>
      </c>
      <c r="C24" s="78">
        <v>-112339</v>
      </c>
      <c r="D24" s="78">
        <v>-29915.875699999997</v>
      </c>
      <c r="E24" s="78">
        <v>-51595</v>
      </c>
      <c r="F24" s="78">
        <f t="shared" si="0"/>
        <v>-193849.8757</v>
      </c>
    </row>
    <row r="25" spans="1:6" x14ac:dyDescent="0.2">
      <c r="A25" s="23">
        <v>20</v>
      </c>
      <c r="B25" s="77">
        <v>38122</v>
      </c>
      <c r="C25" s="78">
        <v>491531</v>
      </c>
      <c r="D25" s="78">
        <v>130894.70529999999</v>
      </c>
      <c r="E25" s="78">
        <v>1822</v>
      </c>
      <c r="F25" s="78">
        <f t="shared" si="0"/>
        <v>624247.70530000003</v>
      </c>
    </row>
    <row r="26" spans="1:6" x14ac:dyDescent="0.2">
      <c r="A26" s="23">
        <v>21</v>
      </c>
      <c r="B26" s="77">
        <v>38153</v>
      </c>
      <c r="C26" s="78">
        <v>510374</v>
      </c>
      <c r="D26" s="78">
        <v>135912.5962</v>
      </c>
      <c r="E26" s="78">
        <v>2369</v>
      </c>
      <c r="F26" s="78">
        <f t="shared" si="0"/>
        <v>648655.59620000003</v>
      </c>
    </row>
    <row r="27" spans="1:6" x14ac:dyDescent="0.2">
      <c r="A27" s="23">
        <v>22</v>
      </c>
      <c r="B27" s="77">
        <v>38183</v>
      </c>
      <c r="C27" s="78">
        <v>602488</v>
      </c>
      <c r="D27" s="78">
        <v>160442.55439999999</v>
      </c>
      <c r="E27" s="78">
        <v>7288</v>
      </c>
      <c r="F27" s="78">
        <f t="shared" si="0"/>
        <v>770218.55440000002</v>
      </c>
    </row>
    <row r="28" spans="1:6" x14ac:dyDescent="0.2">
      <c r="A28" s="23">
        <v>23</v>
      </c>
      <c r="B28" s="77">
        <v>38214</v>
      </c>
      <c r="C28" s="78">
        <v>492387</v>
      </c>
      <c r="D28" s="78">
        <v>131122.6581</v>
      </c>
      <c r="E28" s="78">
        <v>1622</v>
      </c>
      <c r="F28" s="78">
        <f t="shared" si="0"/>
        <v>625131.6581</v>
      </c>
    </row>
    <row r="29" spans="1:6" x14ac:dyDescent="0.2">
      <c r="A29" s="23">
        <v>24</v>
      </c>
      <c r="B29" s="77">
        <v>38245</v>
      </c>
      <c r="C29" s="78">
        <v>469163</v>
      </c>
      <c r="D29" s="78">
        <v>124938.10689999998</v>
      </c>
      <c r="E29" s="78">
        <v>1822</v>
      </c>
      <c r="F29" s="78">
        <f t="shared" si="0"/>
        <v>595923.10690000001</v>
      </c>
    </row>
    <row r="30" spans="1:6" x14ac:dyDescent="0.2">
      <c r="A30" s="23">
        <v>25</v>
      </c>
      <c r="B30" s="77">
        <v>38275</v>
      </c>
      <c r="C30" s="78">
        <v>411640</v>
      </c>
      <c r="D30" s="78">
        <v>109619.73199999999</v>
      </c>
      <c r="E30" s="78">
        <v>0</v>
      </c>
      <c r="F30" s="78">
        <f t="shared" si="0"/>
        <v>521259.73199999996</v>
      </c>
    </row>
    <row r="31" spans="1:6" x14ac:dyDescent="0.2">
      <c r="A31" s="23">
        <v>26</v>
      </c>
      <c r="B31" s="77">
        <v>38306</v>
      </c>
      <c r="C31" s="78">
        <v>152561.29999999999</v>
      </c>
      <c r="D31" s="78">
        <v>58698.66</v>
      </c>
      <c r="E31" s="78">
        <v>-190966.49</v>
      </c>
      <c r="F31" s="78">
        <f t="shared" si="0"/>
        <v>20293.47</v>
      </c>
    </row>
    <row r="32" spans="1:6" x14ac:dyDescent="0.2">
      <c r="A32" s="23">
        <v>27</v>
      </c>
      <c r="B32" s="77">
        <v>38336</v>
      </c>
      <c r="C32" s="78">
        <v>0</v>
      </c>
      <c r="D32" s="78">
        <v>0</v>
      </c>
      <c r="E32" s="78">
        <v>0</v>
      </c>
      <c r="F32" s="78">
        <f t="shared" si="0"/>
        <v>0</v>
      </c>
    </row>
    <row r="33" spans="1:10" x14ac:dyDescent="0.2">
      <c r="A33" s="23">
        <v>28</v>
      </c>
      <c r="B33" s="77">
        <v>38367</v>
      </c>
      <c r="C33" s="78">
        <v>0</v>
      </c>
      <c r="D33" s="78">
        <v>0</v>
      </c>
      <c r="E33" s="78">
        <v>0</v>
      </c>
      <c r="F33" s="78">
        <f t="shared" si="0"/>
        <v>0</v>
      </c>
    </row>
    <row r="34" spans="1:10" x14ac:dyDescent="0.2">
      <c r="A34" s="23">
        <v>29</v>
      </c>
      <c r="B34" s="49">
        <v>38398</v>
      </c>
      <c r="C34" s="79">
        <v>0</v>
      </c>
      <c r="D34" s="79">
        <v>0</v>
      </c>
      <c r="E34" s="79">
        <v>0</v>
      </c>
      <c r="F34" s="78">
        <f t="shared" si="0"/>
        <v>0</v>
      </c>
    </row>
    <row r="35" spans="1:10" x14ac:dyDescent="0.2">
      <c r="B35" s="27" t="s">
        <v>0</v>
      </c>
      <c r="C35" s="80">
        <f>SUM(C5:C34)</f>
        <v>10888233.300000001</v>
      </c>
      <c r="D35" s="80">
        <f>SUM(D5:D34)</f>
        <v>2917608.1135999998</v>
      </c>
      <c r="E35" s="80">
        <f>SUM(E5:E34)</f>
        <v>450120.51</v>
      </c>
      <c r="F35" s="80">
        <f>SUM(F5:F34)</f>
        <v>14255961.923600001</v>
      </c>
    </row>
    <row r="36" spans="1:10" x14ac:dyDescent="0.2">
      <c r="D36" s="80"/>
      <c r="E36" s="81"/>
      <c r="F36" s="80"/>
    </row>
    <row r="37" spans="1:10" x14ac:dyDescent="0.2">
      <c r="A37" s="396" t="s">
        <v>9</v>
      </c>
      <c r="B37" s="396"/>
      <c r="C37" s="17">
        <v>38473</v>
      </c>
    </row>
    <row r="38" spans="1:10" hidden="1" x14ac:dyDescent="0.2"/>
    <row r="39" spans="1:10" hidden="1" x14ac:dyDescent="0.2">
      <c r="A39" s="395" t="s">
        <v>38</v>
      </c>
      <c r="B39" s="395"/>
      <c r="C39" s="395"/>
      <c r="D39" s="395"/>
      <c r="E39" s="395"/>
      <c r="F39" s="395"/>
      <c r="G39" s="395"/>
      <c r="H39" s="395"/>
      <c r="I39" s="395"/>
      <c r="J39" s="395"/>
    </row>
    <row r="40" spans="1:10" hidden="1" x14ac:dyDescent="0.2">
      <c r="A40" s="30" t="s">
        <v>10</v>
      </c>
      <c r="B40" s="30" t="s">
        <v>11</v>
      </c>
      <c r="C40" s="30" t="s">
        <v>12</v>
      </c>
      <c r="D40" s="30" t="s">
        <v>13</v>
      </c>
      <c r="E40" s="30" t="s">
        <v>14</v>
      </c>
      <c r="F40" s="30" t="s">
        <v>15</v>
      </c>
      <c r="G40" s="30" t="s">
        <v>16</v>
      </c>
      <c r="H40" s="30"/>
      <c r="I40" s="30"/>
      <c r="J40" s="30" t="s">
        <v>17</v>
      </c>
    </row>
    <row r="41" spans="1:10" ht="38.25" hidden="1" x14ac:dyDescent="0.2">
      <c r="A41" s="31" t="s">
        <v>18</v>
      </c>
      <c r="B41" s="31" t="s">
        <v>19</v>
      </c>
      <c r="C41" s="31" t="s">
        <v>20</v>
      </c>
      <c r="D41" s="31" t="s">
        <v>21</v>
      </c>
      <c r="E41" s="31" t="s">
        <v>22</v>
      </c>
      <c r="F41" s="31" t="s">
        <v>23</v>
      </c>
      <c r="G41" s="31" t="s">
        <v>24</v>
      </c>
      <c r="H41" s="31" t="s">
        <v>37</v>
      </c>
      <c r="I41" s="31" t="s">
        <v>39</v>
      </c>
      <c r="J41" s="31" t="s">
        <v>25</v>
      </c>
    </row>
    <row r="42" spans="1:10" hidden="1" x14ac:dyDescent="0.2">
      <c r="A42" s="84" t="s">
        <v>50</v>
      </c>
      <c r="B42" s="85">
        <f>C37</f>
        <v>38473</v>
      </c>
      <c r="C42" s="85">
        <v>38533</v>
      </c>
      <c r="D42" s="86">
        <f>+C42-B42+1</f>
        <v>61</v>
      </c>
      <c r="E42" s="87">
        <v>4</v>
      </c>
      <c r="F42" s="51">
        <f>C35</f>
        <v>10888233.300000001</v>
      </c>
      <c r="G42" s="32">
        <f>+D42/366*E42/100*F42</f>
        <v>72588.221999999994</v>
      </c>
      <c r="H42" s="32"/>
      <c r="I42" s="32"/>
      <c r="J42" s="50">
        <f>+F42+G42</f>
        <v>10960821.522</v>
      </c>
    </row>
    <row r="43" spans="1:10" hidden="1" x14ac:dyDescent="0.2">
      <c r="A43" s="84" t="s">
        <v>49</v>
      </c>
      <c r="B43" s="85">
        <v>38534</v>
      </c>
      <c r="C43" s="85">
        <v>38625</v>
      </c>
      <c r="D43" s="86">
        <f>+C43-B43+1</f>
        <v>92</v>
      </c>
      <c r="E43" s="87">
        <v>4</v>
      </c>
      <c r="F43" s="51">
        <f>J42</f>
        <v>10960821.522</v>
      </c>
      <c r="G43" s="32">
        <f>+D43/366*E43/100*F43</f>
        <v>110207.1672157377</v>
      </c>
      <c r="H43" s="32">
        <f>F$42/20</f>
        <v>544411.66500000004</v>
      </c>
      <c r="I43" s="32">
        <f>G$44/20</f>
        <v>9139.7694607868852</v>
      </c>
      <c r="J43" s="50">
        <f>+F43+G43</f>
        <v>11071028.689215738</v>
      </c>
    </row>
    <row r="44" spans="1:10" hidden="1" x14ac:dyDescent="0.2">
      <c r="A44" s="88"/>
      <c r="B44" s="89"/>
      <c r="C44" s="89"/>
      <c r="D44" s="90"/>
      <c r="E44" s="91"/>
      <c r="F44" s="91" t="s">
        <v>0</v>
      </c>
      <c r="G44" s="92">
        <f>SUM(G42:G43)</f>
        <v>182795.3892157377</v>
      </c>
      <c r="H44" s="92"/>
      <c r="I44" s="92"/>
      <c r="J44" s="93"/>
    </row>
    <row r="45" spans="1:10" hidden="1" x14ac:dyDescent="0.2">
      <c r="A45" s="23" t="s">
        <v>36</v>
      </c>
      <c r="B45" s="49">
        <v>38626</v>
      </c>
      <c r="C45" s="49">
        <v>38717</v>
      </c>
      <c r="D45" s="23">
        <f>+C45-B45+1</f>
        <v>92</v>
      </c>
      <c r="E45" s="94">
        <v>4.22</v>
      </c>
      <c r="F45" s="54">
        <f>F$42+G$44-H$43-I43</f>
        <v>10517477.254754953</v>
      </c>
      <c r="G45" s="54">
        <f>+D45/366*E45/100*F45</f>
        <v>111565.72047502904</v>
      </c>
      <c r="H45" s="32">
        <f>F$42/20</f>
        <v>544411.66500000004</v>
      </c>
      <c r="I45" s="32">
        <f>G$44/20</f>
        <v>9139.7694607868852</v>
      </c>
      <c r="J45" s="56"/>
    </row>
    <row r="46" spans="1:10" x14ac:dyDescent="0.2">
      <c r="A46" s="23"/>
      <c r="B46" s="95"/>
      <c r="C46" s="95"/>
      <c r="D46" s="23"/>
      <c r="E46" s="94"/>
      <c r="F46" s="54"/>
      <c r="G46" s="54"/>
      <c r="H46" s="74"/>
      <c r="I46" s="74"/>
      <c r="J46" s="56"/>
    </row>
    <row r="47" spans="1:10" x14ac:dyDescent="0.2">
      <c r="A47" s="23"/>
      <c r="B47" s="49"/>
      <c r="C47" s="49"/>
      <c r="D47" s="23"/>
      <c r="E47" s="94"/>
      <c r="F47" s="54"/>
      <c r="G47" s="54"/>
      <c r="H47" s="74"/>
      <c r="I47" s="74"/>
      <c r="J47" s="56"/>
    </row>
    <row r="48" spans="1:10" x14ac:dyDescent="0.2">
      <c r="A48" s="387" t="s">
        <v>58</v>
      </c>
      <c r="B48" s="388"/>
      <c r="C48" s="388"/>
      <c r="D48" s="388"/>
      <c r="E48" s="388"/>
      <c r="F48" s="388"/>
      <c r="G48" s="388"/>
      <c r="H48" s="388"/>
      <c r="I48" s="388"/>
      <c r="J48" s="389"/>
    </row>
    <row r="49" spans="1:10" x14ac:dyDescent="0.2">
      <c r="A49" s="30" t="s">
        <v>10</v>
      </c>
      <c r="B49" s="30" t="s">
        <v>11</v>
      </c>
      <c r="C49" s="30" t="s">
        <v>12</v>
      </c>
      <c r="D49" s="30" t="s">
        <v>13</v>
      </c>
      <c r="E49" s="30" t="s">
        <v>14</v>
      </c>
      <c r="F49" s="30" t="s">
        <v>15</v>
      </c>
      <c r="G49" s="30" t="s">
        <v>16</v>
      </c>
      <c r="H49" s="30"/>
      <c r="I49" s="30"/>
      <c r="J49" s="30" t="s">
        <v>17</v>
      </c>
    </row>
    <row r="50" spans="1:10" ht="51" x14ac:dyDescent="0.2">
      <c r="A50" s="70" t="s">
        <v>18</v>
      </c>
      <c r="B50" s="70" t="s">
        <v>19</v>
      </c>
      <c r="C50" s="70" t="s">
        <v>20</v>
      </c>
      <c r="D50" s="70" t="s">
        <v>21</v>
      </c>
      <c r="E50" s="70" t="s">
        <v>22</v>
      </c>
      <c r="F50" s="70" t="s">
        <v>23</v>
      </c>
      <c r="G50" s="6" t="s">
        <v>130</v>
      </c>
      <c r="H50" s="6" t="s">
        <v>37</v>
      </c>
      <c r="I50" s="6" t="s">
        <v>131</v>
      </c>
      <c r="J50" s="70" t="s">
        <v>25</v>
      </c>
    </row>
    <row r="51" spans="1:10" x14ac:dyDescent="0.2">
      <c r="A51" s="102" t="s">
        <v>40</v>
      </c>
      <c r="B51" s="103">
        <f>C37</f>
        <v>38473</v>
      </c>
      <c r="C51" s="103">
        <v>38533</v>
      </c>
      <c r="D51" s="104">
        <f>+C51-B51+1</f>
        <v>61</v>
      </c>
      <c r="E51" s="105">
        <v>5.3</v>
      </c>
      <c r="F51" s="106">
        <f>C35</f>
        <v>10888233.300000001</v>
      </c>
      <c r="G51" s="107">
        <f>+D51/365*E51/100*F51</f>
        <v>96442.899339452051</v>
      </c>
      <c r="H51" s="107"/>
      <c r="I51" s="108"/>
      <c r="J51" s="136">
        <f>+F51+G51</f>
        <v>10984676.199339453</v>
      </c>
    </row>
    <row r="52" spans="1:10" x14ac:dyDescent="0.2">
      <c r="A52" s="109" t="s">
        <v>42</v>
      </c>
      <c r="B52" s="110">
        <f>C51+1</f>
        <v>38534</v>
      </c>
      <c r="C52" s="110">
        <v>38625</v>
      </c>
      <c r="D52" s="111">
        <f>+C52-B52+1</f>
        <v>92</v>
      </c>
      <c r="E52" s="112">
        <v>5.77</v>
      </c>
      <c r="F52" s="113">
        <f>+J51</f>
        <v>10984676.199339453</v>
      </c>
      <c r="G52" s="114">
        <f>+D52/365*E52/100*F52</f>
        <v>159756.31544266728</v>
      </c>
      <c r="H52" s="114">
        <f>F$51/20</f>
        <v>544411.66500000004</v>
      </c>
      <c r="I52" s="115">
        <f>G$53/20</f>
        <v>12809.960739105965</v>
      </c>
      <c r="J52" s="129">
        <f>+F52+G52</f>
        <v>11144432.51478212</v>
      </c>
    </row>
    <row r="53" spans="1:10" x14ac:dyDescent="0.2">
      <c r="A53" s="117"/>
      <c r="B53" s="118"/>
      <c r="C53" s="118"/>
      <c r="D53" s="130"/>
      <c r="E53" s="393" t="s">
        <v>132</v>
      </c>
      <c r="F53" s="394"/>
      <c r="G53" s="120">
        <f>SUM(G51:G52)</f>
        <v>256199.21478211932</v>
      </c>
      <c r="H53" s="120"/>
      <c r="I53" s="121"/>
      <c r="J53" s="135"/>
    </row>
    <row r="54" spans="1:10" x14ac:dyDescent="0.2">
      <c r="A54" s="123" t="s">
        <v>36</v>
      </c>
      <c r="B54" s="110">
        <v>38626</v>
      </c>
      <c r="C54" s="110">
        <v>38717</v>
      </c>
      <c r="D54" s="111">
        <f>+C54-B54+1</f>
        <v>92</v>
      </c>
      <c r="E54" s="122">
        <v>6.23</v>
      </c>
      <c r="F54" s="131">
        <f>F$51+G$53-SUM(H$52:H53)-SUM(I$52:I53)</f>
        <v>10587210.889043014</v>
      </c>
      <c r="G54" s="131">
        <f>+D54/366*E54/100*F54</f>
        <v>165796.87959464194</v>
      </c>
      <c r="H54" s="114">
        <f t="shared" ref="H54:H62" si="1">F$51/20</f>
        <v>544411.66500000004</v>
      </c>
      <c r="I54" s="116">
        <f t="shared" ref="I54:I62" si="2">G$53/20</f>
        <v>12809.960739105965</v>
      </c>
      <c r="J54" s="134"/>
    </row>
    <row r="55" spans="1:10" x14ac:dyDescent="0.2">
      <c r="A55" s="109" t="s">
        <v>76</v>
      </c>
      <c r="B55" s="110">
        <f>C54+1</f>
        <v>38718</v>
      </c>
      <c r="C55" s="110">
        <v>38807</v>
      </c>
      <c r="D55" s="111">
        <f t="shared" ref="D55:D62" si="3">+C55-B55+1</f>
        <v>90</v>
      </c>
      <c r="E55" s="112">
        <v>6.78</v>
      </c>
      <c r="F55" s="131">
        <f>F$51+G$53-SUM(H$52:H54)-SUM(I$52:I54)</f>
        <v>10029989.263303908</v>
      </c>
      <c r="G55" s="114">
        <f t="shared" ref="G55:G62" si="4">+D55/365*E55/100*F55</f>
        <v>167679.43694432997</v>
      </c>
      <c r="H55" s="114">
        <f t="shared" si="1"/>
        <v>544411.66500000004</v>
      </c>
      <c r="I55" s="116">
        <f t="shared" si="2"/>
        <v>12809.960739105965</v>
      </c>
      <c r="J55" s="134"/>
    </row>
    <row r="56" spans="1:10" x14ac:dyDescent="0.2">
      <c r="A56" s="109" t="s">
        <v>77</v>
      </c>
      <c r="B56" s="110">
        <f t="shared" ref="B56:B73" si="5">C55+1</f>
        <v>38808</v>
      </c>
      <c r="C56" s="110">
        <v>38898</v>
      </c>
      <c r="D56" s="111">
        <f t="shared" si="3"/>
        <v>91</v>
      </c>
      <c r="E56" s="112">
        <v>7.3</v>
      </c>
      <c r="F56" s="131">
        <f>F$51+G$53-SUM(H$52:H55)-SUM(I$52:I55)</f>
        <v>9472767.6375648007</v>
      </c>
      <c r="G56" s="114">
        <f t="shared" si="4"/>
        <v>172404.37100367938</v>
      </c>
      <c r="H56" s="114">
        <f t="shared" si="1"/>
        <v>544411.66500000004</v>
      </c>
      <c r="I56" s="116">
        <f t="shared" si="2"/>
        <v>12809.960739105965</v>
      </c>
      <c r="J56" s="134"/>
    </row>
    <row r="57" spans="1:10" x14ac:dyDescent="0.2">
      <c r="A57" s="109" t="s">
        <v>78</v>
      </c>
      <c r="B57" s="110">
        <f t="shared" si="5"/>
        <v>38899</v>
      </c>
      <c r="C57" s="110">
        <v>38990</v>
      </c>
      <c r="D57" s="111">
        <f t="shared" si="3"/>
        <v>92</v>
      </c>
      <c r="E57" s="111">
        <v>7.74</v>
      </c>
      <c r="F57" s="131">
        <f>F$51+G$53-SUM(H$52:H56)-SUM(I$52:I56)</f>
        <v>8915546.0118256956</v>
      </c>
      <c r="G57" s="114">
        <f t="shared" si="4"/>
        <v>173933.75353700938</v>
      </c>
      <c r="H57" s="114">
        <f t="shared" si="1"/>
        <v>544411.66500000004</v>
      </c>
      <c r="I57" s="116">
        <f t="shared" si="2"/>
        <v>12809.960739105965</v>
      </c>
      <c r="J57" s="134"/>
    </row>
    <row r="58" spans="1:10" x14ac:dyDescent="0.2">
      <c r="A58" s="109" t="s">
        <v>79</v>
      </c>
      <c r="B58" s="110">
        <f t="shared" si="5"/>
        <v>38991</v>
      </c>
      <c r="C58" s="110">
        <v>39082</v>
      </c>
      <c r="D58" s="111">
        <f t="shared" si="3"/>
        <v>92</v>
      </c>
      <c r="E58" s="111">
        <v>8.17</v>
      </c>
      <c r="F58" s="131">
        <f>F$51+G$53-SUM(H$52:H57)-SUM(I$52:I57)</f>
        <v>8358324.3860865906</v>
      </c>
      <c r="G58" s="114">
        <f t="shared" si="4"/>
        <v>172121.94360433219</v>
      </c>
      <c r="H58" s="114">
        <f t="shared" si="1"/>
        <v>544411.66500000004</v>
      </c>
      <c r="I58" s="116">
        <f t="shared" si="2"/>
        <v>12809.960739105965</v>
      </c>
      <c r="J58" s="134"/>
    </row>
    <row r="59" spans="1:10" x14ac:dyDescent="0.2">
      <c r="A59" s="109" t="s">
        <v>80</v>
      </c>
      <c r="B59" s="110">
        <f t="shared" si="5"/>
        <v>39083</v>
      </c>
      <c r="C59" s="110">
        <v>39172</v>
      </c>
      <c r="D59" s="111">
        <f t="shared" si="3"/>
        <v>90</v>
      </c>
      <c r="E59" s="111">
        <v>8.25</v>
      </c>
      <c r="F59" s="131">
        <f>F$51+G$53-SUM(H$52:H58)-SUM(I$52:I58)</f>
        <v>7801102.7603474837</v>
      </c>
      <c r="G59" s="114">
        <f t="shared" si="4"/>
        <v>158693.66574131523</v>
      </c>
      <c r="H59" s="114">
        <f t="shared" si="1"/>
        <v>544411.66500000004</v>
      </c>
      <c r="I59" s="116">
        <f t="shared" si="2"/>
        <v>12809.960739105965</v>
      </c>
      <c r="J59" s="134"/>
    </row>
    <row r="60" spans="1:10" x14ac:dyDescent="0.2">
      <c r="A60" s="109" t="s">
        <v>81</v>
      </c>
      <c r="B60" s="110">
        <f t="shared" si="5"/>
        <v>39173</v>
      </c>
      <c r="C60" s="110">
        <v>39263</v>
      </c>
      <c r="D60" s="111">
        <f t="shared" si="3"/>
        <v>91</v>
      </c>
      <c r="E60" s="111">
        <v>8.25</v>
      </c>
      <c r="F60" s="131">
        <f>F$51+G$53-SUM(H$52:H59)-SUM(I$52:I59)</f>
        <v>7243881.1346083777</v>
      </c>
      <c r="G60" s="114">
        <f t="shared" si="4"/>
        <v>148995.71950156821</v>
      </c>
      <c r="H60" s="114">
        <f t="shared" si="1"/>
        <v>544411.66500000004</v>
      </c>
      <c r="I60" s="116">
        <f t="shared" si="2"/>
        <v>12809.960739105965</v>
      </c>
      <c r="J60" s="134"/>
    </row>
    <row r="61" spans="1:10" x14ac:dyDescent="0.2">
      <c r="A61" s="109" t="s">
        <v>82</v>
      </c>
      <c r="B61" s="110">
        <f t="shared" si="5"/>
        <v>39264</v>
      </c>
      <c r="C61" s="110">
        <v>39355</v>
      </c>
      <c r="D61" s="111">
        <f t="shared" si="3"/>
        <v>92</v>
      </c>
      <c r="E61" s="111">
        <v>8.25</v>
      </c>
      <c r="F61" s="131">
        <f>F$51+G$53-SUM(H$52:H60)-SUM(I$52:I60)</f>
        <v>6686659.5088692717</v>
      </c>
      <c r="G61" s="114">
        <f t="shared" si="4"/>
        <v>139045.87855429528</v>
      </c>
      <c r="H61" s="114">
        <f t="shared" si="1"/>
        <v>544411.66500000004</v>
      </c>
      <c r="I61" s="116">
        <f t="shared" si="2"/>
        <v>12809.960739105965</v>
      </c>
      <c r="J61" s="134"/>
    </row>
    <row r="62" spans="1:10" x14ac:dyDescent="0.2">
      <c r="A62" s="123" t="s">
        <v>83</v>
      </c>
      <c r="B62" s="110">
        <f t="shared" si="5"/>
        <v>39356</v>
      </c>
      <c r="C62" s="110">
        <v>39447</v>
      </c>
      <c r="D62" s="111">
        <f t="shared" si="3"/>
        <v>92</v>
      </c>
      <c r="E62" s="111">
        <v>8.25</v>
      </c>
      <c r="F62" s="131">
        <f>F$51+G$53-SUM(H$52:H61)-SUM(I$52:I61)</f>
        <v>6129437.8831301657</v>
      </c>
      <c r="G62" s="114">
        <f t="shared" si="4"/>
        <v>127458.722008104</v>
      </c>
      <c r="H62" s="114">
        <f t="shared" si="1"/>
        <v>544411.66500000004</v>
      </c>
      <c r="I62" s="116">
        <f t="shared" si="2"/>
        <v>12809.960739105965</v>
      </c>
      <c r="J62" s="134"/>
    </row>
    <row r="63" spans="1:10" x14ac:dyDescent="0.2">
      <c r="A63" s="123" t="s">
        <v>105</v>
      </c>
      <c r="B63" s="110">
        <f t="shared" si="5"/>
        <v>39448</v>
      </c>
      <c r="C63" s="110">
        <v>39538</v>
      </c>
      <c r="D63" s="111">
        <f t="shared" ref="D63:D73" si="6">+C63-B63+1</f>
        <v>91</v>
      </c>
      <c r="E63" s="111">
        <v>7.76</v>
      </c>
      <c r="F63" s="131">
        <f>F$51+G$53-SUM(H$52:H62)-SUM(I$52:I62)</f>
        <v>5572216.2573910598</v>
      </c>
      <c r="G63" s="114">
        <f>+D63/366*E63/100*F63</f>
        <v>107510.27957156478</v>
      </c>
      <c r="H63" s="114">
        <f t="shared" ref="H63:H72" si="7">F$51/20</f>
        <v>544411.66500000004</v>
      </c>
      <c r="I63" s="115">
        <f t="shared" ref="I63:I72" si="8">G$53/20</f>
        <v>12809.960739105965</v>
      </c>
      <c r="J63" s="96"/>
    </row>
    <row r="64" spans="1:10" x14ac:dyDescent="0.2">
      <c r="A64" s="123" t="s">
        <v>106</v>
      </c>
      <c r="B64" s="110">
        <f t="shared" si="5"/>
        <v>39539</v>
      </c>
      <c r="C64" s="110">
        <v>39629</v>
      </c>
      <c r="D64" s="111">
        <f t="shared" si="6"/>
        <v>91</v>
      </c>
      <c r="E64" s="111">
        <v>6.77</v>
      </c>
      <c r="F64" s="131">
        <f>F$51+G$53-SUM(H$52:H63)-SUM(I$52:I63)</f>
        <v>5014994.6316519538</v>
      </c>
      <c r="G64" s="114">
        <f>+D64/366*E64/100*F64</f>
        <v>84414.96564813712</v>
      </c>
      <c r="H64" s="114">
        <f t="shared" si="7"/>
        <v>544411.66500000004</v>
      </c>
      <c r="I64" s="115">
        <f t="shared" si="8"/>
        <v>12809.960739105965</v>
      </c>
      <c r="J64" s="96"/>
    </row>
    <row r="65" spans="1:10" x14ac:dyDescent="0.2">
      <c r="A65" s="123" t="s">
        <v>107</v>
      </c>
      <c r="B65" s="110">
        <f t="shared" si="5"/>
        <v>39630</v>
      </c>
      <c r="C65" s="110">
        <v>39721</v>
      </c>
      <c r="D65" s="111">
        <f t="shared" si="6"/>
        <v>92</v>
      </c>
      <c r="E65" s="111">
        <v>5.3</v>
      </c>
      <c r="F65" s="131">
        <f>F$51+G$53-SUM(H$52:H64)-SUM(I$52:I64)</f>
        <v>4457773.0059128478</v>
      </c>
      <c r="G65" s="114">
        <f>+D65/366*E65/100*F65</f>
        <v>59388.254581505593</v>
      </c>
      <c r="H65" s="114">
        <f t="shared" si="7"/>
        <v>544411.66500000004</v>
      </c>
      <c r="I65" s="115">
        <f t="shared" si="8"/>
        <v>12809.960739105965</v>
      </c>
      <c r="J65" s="96"/>
    </row>
    <row r="66" spans="1:10" x14ac:dyDescent="0.2">
      <c r="A66" s="123" t="s">
        <v>100</v>
      </c>
      <c r="B66" s="110">
        <f t="shared" si="5"/>
        <v>39722</v>
      </c>
      <c r="C66" s="110">
        <v>39813</v>
      </c>
      <c r="D66" s="111">
        <f t="shared" si="6"/>
        <v>92</v>
      </c>
      <c r="E66" s="111">
        <v>5</v>
      </c>
      <c r="F66" s="131">
        <f>F$51+G$53-SUM(H$52:H65)-SUM(I$52:I65)</f>
        <v>3900551.3801737414</v>
      </c>
      <c r="G66" s="114">
        <f>+D66/366*E66/100*F66</f>
        <v>49023.323357374895</v>
      </c>
      <c r="H66" s="114">
        <f t="shared" si="7"/>
        <v>544411.66500000004</v>
      </c>
      <c r="I66" s="115">
        <f t="shared" si="8"/>
        <v>12809.960739105965</v>
      </c>
      <c r="J66" s="96"/>
    </row>
    <row r="67" spans="1:10" x14ac:dyDescent="0.2">
      <c r="A67" s="123" t="s">
        <v>108</v>
      </c>
      <c r="B67" s="110">
        <f t="shared" si="5"/>
        <v>39814</v>
      </c>
      <c r="C67" s="110">
        <v>39903</v>
      </c>
      <c r="D67" s="111">
        <f t="shared" si="6"/>
        <v>90</v>
      </c>
      <c r="E67" s="111">
        <v>4.5199999999999996</v>
      </c>
      <c r="F67" s="131">
        <f>F$51+G$53-SUM(H$52:H66)-SUM(I$52:I66)</f>
        <v>3343329.7544346354</v>
      </c>
      <c r="G67" s="114">
        <f t="shared" ref="G67:G73" si="9">+D67/365*E67/100*F67</f>
        <v>37262.097098739992</v>
      </c>
      <c r="H67" s="114">
        <f t="shared" si="7"/>
        <v>544411.66500000004</v>
      </c>
      <c r="I67" s="115">
        <f t="shared" si="8"/>
        <v>12809.960739105965</v>
      </c>
      <c r="J67" s="96"/>
    </row>
    <row r="68" spans="1:10" x14ac:dyDescent="0.2">
      <c r="A68" s="123" t="s">
        <v>109</v>
      </c>
      <c r="B68" s="110">
        <f t="shared" si="5"/>
        <v>39904</v>
      </c>
      <c r="C68" s="110">
        <v>39994</v>
      </c>
      <c r="D68" s="111">
        <f t="shared" si="6"/>
        <v>91</v>
      </c>
      <c r="E68" s="111">
        <v>3.37</v>
      </c>
      <c r="F68" s="131">
        <f>F$51+G$53-SUM(H$52:H67)-SUM(I$52:I67)</f>
        <v>2786108.1286955294</v>
      </c>
      <c r="G68" s="114">
        <f t="shared" si="9"/>
        <v>23408.651502111177</v>
      </c>
      <c r="H68" s="114">
        <f t="shared" si="7"/>
        <v>544411.66500000004</v>
      </c>
      <c r="I68" s="115">
        <f t="shared" si="8"/>
        <v>12809.960739105965</v>
      </c>
      <c r="J68" s="96"/>
    </row>
    <row r="69" spans="1:10" x14ac:dyDescent="0.2">
      <c r="A69" s="123" t="s">
        <v>111</v>
      </c>
      <c r="B69" s="110">
        <f t="shared" si="5"/>
        <v>39995</v>
      </c>
      <c r="C69" s="110">
        <v>40086</v>
      </c>
      <c r="D69" s="111">
        <f t="shared" si="6"/>
        <v>92</v>
      </c>
      <c r="E69" s="111">
        <v>3.25</v>
      </c>
      <c r="F69" s="131">
        <f>F$51+G$53-SUM(H$52:H68)-SUM(I$52:I68)</f>
        <v>2228886.5029564234</v>
      </c>
      <c r="G69" s="114">
        <f t="shared" si="9"/>
        <v>18258.54970914988</v>
      </c>
      <c r="H69" s="114">
        <f t="shared" si="7"/>
        <v>544411.66500000004</v>
      </c>
      <c r="I69" s="115">
        <f t="shared" si="8"/>
        <v>12809.960739105965</v>
      </c>
      <c r="J69" s="96"/>
    </row>
    <row r="70" spans="1:10" x14ac:dyDescent="0.2">
      <c r="A70" s="123" t="s">
        <v>101</v>
      </c>
      <c r="B70" s="110">
        <f t="shared" si="5"/>
        <v>40087</v>
      </c>
      <c r="C70" s="110">
        <v>40178</v>
      </c>
      <c r="D70" s="111">
        <f t="shared" si="6"/>
        <v>92</v>
      </c>
      <c r="E70" s="111">
        <f>E69</f>
        <v>3.25</v>
      </c>
      <c r="F70" s="131">
        <f>F$51+G$53-SUM(H$52:H69)-SUM(I$52:I69)</f>
        <v>1671664.8772173184</v>
      </c>
      <c r="G70" s="114">
        <f t="shared" si="9"/>
        <v>13693.912281862418</v>
      </c>
      <c r="H70" s="114">
        <f t="shared" si="7"/>
        <v>544411.66500000004</v>
      </c>
      <c r="I70" s="115">
        <f t="shared" si="8"/>
        <v>12809.960739105965</v>
      </c>
      <c r="J70" s="96"/>
    </row>
    <row r="71" spans="1:10" x14ac:dyDescent="0.2">
      <c r="A71" s="123" t="s">
        <v>112</v>
      </c>
      <c r="B71" s="110">
        <f t="shared" si="5"/>
        <v>40179</v>
      </c>
      <c r="C71" s="110">
        <v>40268</v>
      </c>
      <c r="D71" s="111">
        <f t="shared" si="6"/>
        <v>90</v>
      </c>
      <c r="E71" s="111">
        <f>E70</f>
        <v>3.25</v>
      </c>
      <c r="F71" s="131">
        <f>F$51+G$53-SUM(H$52:H70)-SUM(I$52:I70)</f>
        <v>1114443.2514782134</v>
      </c>
      <c r="G71" s="114">
        <f t="shared" si="9"/>
        <v>8930.8123577363658</v>
      </c>
      <c r="H71" s="114">
        <f t="shared" si="7"/>
        <v>544411.66500000004</v>
      </c>
      <c r="I71" s="115">
        <f t="shared" si="8"/>
        <v>12809.960739105965</v>
      </c>
      <c r="J71" s="96"/>
    </row>
    <row r="72" spans="1:10" x14ac:dyDescent="0.2">
      <c r="A72" s="123" t="s">
        <v>113</v>
      </c>
      <c r="B72" s="110">
        <f t="shared" si="5"/>
        <v>40269</v>
      </c>
      <c r="C72" s="110">
        <v>40359</v>
      </c>
      <c r="D72" s="111">
        <f t="shared" si="6"/>
        <v>91</v>
      </c>
      <c r="E72" s="111">
        <f>E71</f>
        <v>3.25</v>
      </c>
      <c r="F72" s="131">
        <f>F$51+G$53-SUM(H$52:H71)-SUM(I$52:I71)</f>
        <v>557221.62573910831</v>
      </c>
      <c r="G72" s="114">
        <f t="shared" si="9"/>
        <v>4515.0218030778433</v>
      </c>
      <c r="H72" s="114">
        <f t="shared" si="7"/>
        <v>544411.66500000004</v>
      </c>
      <c r="I72" s="115">
        <f t="shared" si="8"/>
        <v>12809.960739105965</v>
      </c>
      <c r="J72" s="96"/>
    </row>
    <row r="73" spans="1:10" x14ac:dyDescent="0.2">
      <c r="A73" s="124" t="s">
        <v>114</v>
      </c>
      <c r="B73" s="125">
        <f t="shared" si="5"/>
        <v>40360</v>
      </c>
      <c r="C73" s="125">
        <v>40451</v>
      </c>
      <c r="D73" s="126">
        <f t="shared" si="6"/>
        <v>92</v>
      </c>
      <c r="E73" s="111">
        <v>3.25</v>
      </c>
      <c r="F73" s="132">
        <f>F$51+G$53-SUM(H$52:H72)-SUM(I$52:I72)</f>
        <v>3.1723175197839737E-9</v>
      </c>
      <c r="G73" s="127">
        <f t="shared" si="9"/>
        <v>2.5986929819600226E-11</v>
      </c>
      <c r="H73" s="127">
        <v>0</v>
      </c>
      <c r="I73" s="128">
        <v>0</v>
      </c>
      <c r="J73" s="96"/>
    </row>
    <row r="75" spans="1:10" x14ac:dyDescent="0.2">
      <c r="A75" s="387" t="s">
        <v>51</v>
      </c>
      <c r="B75" s="388"/>
      <c r="C75" s="388"/>
      <c r="D75" s="388"/>
      <c r="E75" s="388"/>
      <c r="F75" s="388"/>
      <c r="G75" s="388"/>
      <c r="H75" s="388"/>
      <c r="I75" s="388"/>
      <c r="J75" s="389"/>
    </row>
    <row r="76" spans="1:10" x14ac:dyDescent="0.2">
      <c r="A76" s="30" t="s">
        <v>10</v>
      </c>
      <c r="B76" s="30" t="s">
        <v>11</v>
      </c>
      <c r="C76" s="30" t="s">
        <v>12</v>
      </c>
      <c r="D76" s="30" t="s">
        <v>13</v>
      </c>
      <c r="E76" s="30" t="s">
        <v>14</v>
      </c>
      <c r="F76" s="30" t="s">
        <v>15</v>
      </c>
      <c r="G76" s="30" t="s">
        <v>16</v>
      </c>
      <c r="H76" s="30"/>
      <c r="I76" s="30"/>
      <c r="J76" s="30" t="s">
        <v>17</v>
      </c>
    </row>
    <row r="77" spans="1:10" ht="51" x14ac:dyDescent="0.2">
      <c r="A77" s="70" t="s">
        <v>18</v>
      </c>
      <c r="B77" s="70" t="s">
        <v>19</v>
      </c>
      <c r="C77" s="70" t="s">
        <v>20</v>
      </c>
      <c r="D77" s="70" t="s">
        <v>21</v>
      </c>
      <c r="E77" s="70" t="s">
        <v>22</v>
      </c>
      <c r="F77" s="70" t="s">
        <v>23</v>
      </c>
      <c r="G77" s="6" t="s">
        <v>130</v>
      </c>
      <c r="H77" s="6" t="s">
        <v>37</v>
      </c>
      <c r="I77" s="6" t="s">
        <v>131</v>
      </c>
      <c r="J77" s="70" t="s">
        <v>25</v>
      </c>
    </row>
    <row r="78" spans="1:10" x14ac:dyDescent="0.2">
      <c r="A78" s="102" t="s">
        <v>46</v>
      </c>
      <c r="B78" s="103">
        <f>B13</f>
        <v>37377</v>
      </c>
      <c r="C78" s="103">
        <v>37437</v>
      </c>
      <c r="D78" s="104">
        <f t="shared" ref="D78:D91" si="10">+C78-B78+1</f>
        <v>61</v>
      </c>
      <c r="E78" s="105">
        <v>4.78</v>
      </c>
      <c r="F78" s="106">
        <f>E13</f>
        <v>320658</v>
      </c>
      <c r="G78" s="107">
        <f t="shared" ref="G78:G84" si="11">+D78/365*E78/100*F78</f>
        <v>2561.5742367123289</v>
      </c>
      <c r="H78" s="107"/>
      <c r="I78" s="108"/>
      <c r="J78" s="142">
        <f>F78+G78</f>
        <v>323219.5742367123</v>
      </c>
    </row>
    <row r="79" spans="1:10" x14ac:dyDescent="0.2">
      <c r="A79" s="109" t="s">
        <v>47</v>
      </c>
      <c r="B79" s="110">
        <v>37438</v>
      </c>
      <c r="C79" s="110">
        <v>37529</v>
      </c>
      <c r="D79" s="111">
        <f t="shared" si="10"/>
        <v>92</v>
      </c>
      <c r="E79" s="112">
        <v>4.75</v>
      </c>
      <c r="F79" s="113">
        <f t="shared" ref="F79:F91" si="12">+J78</f>
        <v>323219.5742367123</v>
      </c>
      <c r="G79" s="114">
        <f t="shared" si="11"/>
        <v>3869.779560039542</v>
      </c>
      <c r="H79" s="114"/>
      <c r="I79" s="115"/>
      <c r="J79" s="129">
        <f>+J78+G79</f>
        <v>327089.35379675182</v>
      </c>
    </row>
    <row r="80" spans="1:10" x14ac:dyDescent="0.2">
      <c r="A80" s="109" t="s">
        <v>48</v>
      </c>
      <c r="B80" s="110">
        <v>37530</v>
      </c>
      <c r="C80" s="110">
        <v>37621</v>
      </c>
      <c r="D80" s="111">
        <f t="shared" si="10"/>
        <v>92</v>
      </c>
      <c r="E80" s="112">
        <v>4.75</v>
      </c>
      <c r="F80" s="113">
        <f t="shared" si="12"/>
        <v>327089.35379675182</v>
      </c>
      <c r="G80" s="114">
        <f t="shared" si="11"/>
        <v>3916.1108934022068</v>
      </c>
      <c r="H80" s="114"/>
      <c r="I80" s="115"/>
      <c r="J80" s="129">
        <f>+J79+G80</f>
        <v>331005.46469015401</v>
      </c>
    </row>
    <row r="81" spans="1:10" x14ac:dyDescent="0.2">
      <c r="A81" s="109" t="s">
        <v>26</v>
      </c>
      <c r="B81" s="110">
        <v>37622</v>
      </c>
      <c r="C81" s="110">
        <v>37711</v>
      </c>
      <c r="D81" s="111">
        <f t="shared" si="10"/>
        <v>90</v>
      </c>
      <c r="E81" s="112">
        <v>4.62</v>
      </c>
      <c r="F81" s="113">
        <f t="shared" si="12"/>
        <v>331005.46469015401</v>
      </c>
      <c r="G81" s="114">
        <f t="shared" si="11"/>
        <v>3770.7417046072883</v>
      </c>
      <c r="H81" s="114"/>
      <c r="I81" s="115"/>
      <c r="J81" s="129">
        <f>+J80+G81</f>
        <v>334776.20639476128</v>
      </c>
    </row>
    <row r="82" spans="1:10" x14ac:dyDescent="0.2">
      <c r="A82" s="109" t="s">
        <v>27</v>
      </c>
      <c r="B82" s="110">
        <v>37712</v>
      </c>
      <c r="C82" s="110">
        <v>37802</v>
      </c>
      <c r="D82" s="111">
        <f t="shared" si="10"/>
        <v>91</v>
      </c>
      <c r="E82" s="112">
        <v>4.25</v>
      </c>
      <c r="F82" s="113">
        <f t="shared" si="12"/>
        <v>334776.20639476128</v>
      </c>
      <c r="G82" s="114">
        <f t="shared" si="11"/>
        <v>3547.25199515545</v>
      </c>
      <c r="H82" s="114"/>
      <c r="I82" s="115"/>
      <c r="J82" s="129">
        <f>+J81+G82</f>
        <v>338323.45838991675</v>
      </c>
    </row>
    <row r="83" spans="1:10" x14ac:dyDescent="0.2">
      <c r="A83" s="109" t="s">
        <v>28</v>
      </c>
      <c r="B83" s="110">
        <v>37803</v>
      </c>
      <c r="C83" s="110">
        <v>37894</v>
      </c>
      <c r="D83" s="111">
        <f t="shared" si="10"/>
        <v>92</v>
      </c>
      <c r="E83" s="112">
        <v>4.25</v>
      </c>
      <c r="F83" s="113">
        <f t="shared" si="12"/>
        <v>338323.45838991675</v>
      </c>
      <c r="G83" s="114">
        <f t="shared" si="11"/>
        <v>3624.2321159029443</v>
      </c>
      <c r="H83" s="114"/>
      <c r="I83" s="115"/>
      <c r="J83" s="129">
        <f>+J82+G83</f>
        <v>341947.69050581969</v>
      </c>
    </row>
    <row r="84" spans="1:10" x14ac:dyDescent="0.2">
      <c r="A84" s="109" t="s">
        <v>29</v>
      </c>
      <c r="B84" s="110">
        <v>37895</v>
      </c>
      <c r="C84" s="110">
        <v>37986</v>
      </c>
      <c r="D84" s="111">
        <f t="shared" si="10"/>
        <v>92</v>
      </c>
      <c r="E84" s="112">
        <v>4.07</v>
      </c>
      <c r="F84" s="113">
        <f t="shared" si="12"/>
        <v>341947.69050581969</v>
      </c>
      <c r="G84" s="114">
        <f t="shared" si="11"/>
        <v>3507.9148830958666</v>
      </c>
      <c r="H84" s="114"/>
      <c r="I84" s="115"/>
      <c r="J84" s="129">
        <f>+F84+G84</f>
        <v>345455.60538891557</v>
      </c>
    </row>
    <row r="85" spans="1:10" x14ac:dyDescent="0.2">
      <c r="A85" s="109" t="s">
        <v>30</v>
      </c>
      <c r="B85" s="110">
        <v>37987</v>
      </c>
      <c r="C85" s="110">
        <v>38077</v>
      </c>
      <c r="D85" s="111">
        <f t="shared" si="10"/>
        <v>91</v>
      </c>
      <c r="E85" s="112">
        <v>4</v>
      </c>
      <c r="F85" s="113">
        <f t="shared" si="12"/>
        <v>345455.60538891557</v>
      </c>
      <c r="G85" s="114">
        <f>+D85/366*E85/100*F85</f>
        <v>3435.6786984034229</v>
      </c>
      <c r="H85" s="114"/>
      <c r="I85" s="115"/>
      <c r="J85" s="129">
        <f t="shared" ref="J85:J91" si="13">+F85+G85</f>
        <v>348891.28408731899</v>
      </c>
    </row>
    <row r="86" spans="1:10" x14ac:dyDescent="0.2">
      <c r="A86" s="109" t="s">
        <v>44</v>
      </c>
      <c r="B86" s="110">
        <v>38078</v>
      </c>
      <c r="C86" s="110">
        <v>38168</v>
      </c>
      <c r="D86" s="111">
        <f t="shared" si="10"/>
        <v>91</v>
      </c>
      <c r="E86" s="112">
        <v>4</v>
      </c>
      <c r="F86" s="113">
        <f t="shared" si="12"/>
        <v>348891.28408731899</v>
      </c>
      <c r="G86" s="114">
        <f>+D86/366*E86/100*F86</f>
        <v>3469.8477433820799</v>
      </c>
      <c r="H86" s="114"/>
      <c r="I86" s="115"/>
      <c r="J86" s="129">
        <f t="shared" si="13"/>
        <v>352361.13183070108</v>
      </c>
    </row>
    <row r="87" spans="1:10" x14ac:dyDescent="0.2">
      <c r="A87" s="109" t="s">
        <v>41</v>
      </c>
      <c r="B87" s="110">
        <v>38169</v>
      </c>
      <c r="C87" s="110">
        <v>38260</v>
      </c>
      <c r="D87" s="111">
        <f t="shared" si="10"/>
        <v>92</v>
      </c>
      <c r="E87" s="112">
        <v>4</v>
      </c>
      <c r="F87" s="113">
        <f t="shared" si="12"/>
        <v>352361.13183070108</v>
      </c>
      <c r="G87" s="114">
        <f>+D87/366*E87/100*F87</f>
        <v>3542.8660249644263</v>
      </c>
      <c r="H87" s="114"/>
      <c r="I87" s="115"/>
      <c r="J87" s="129">
        <f t="shared" si="13"/>
        <v>355903.99785566551</v>
      </c>
    </row>
    <row r="88" spans="1:10" x14ac:dyDescent="0.2">
      <c r="A88" s="109" t="s">
        <v>45</v>
      </c>
      <c r="B88" s="110">
        <v>38261</v>
      </c>
      <c r="C88" s="110">
        <v>38352</v>
      </c>
      <c r="D88" s="111">
        <f t="shared" si="10"/>
        <v>92</v>
      </c>
      <c r="E88" s="112">
        <v>4.22</v>
      </c>
      <c r="F88" s="113">
        <f t="shared" si="12"/>
        <v>355903.99785566551</v>
      </c>
      <c r="G88" s="114">
        <f>+D88/366*E88/100*F88</f>
        <v>3775.3051400951799</v>
      </c>
      <c r="H88" s="114"/>
      <c r="I88" s="115"/>
      <c r="J88" s="129">
        <f t="shared" si="13"/>
        <v>359679.30299576069</v>
      </c>
    </row>
    <row r="89" spans="1:10" x14ac:dyDescent="0.2">
      <c r="A89" s="109" t="s">
        <v>43</v>
      </c>
      <c r="B89" s="110">
        <v>38353</v>
      </c>
      <c r="C89" s="110">
        <v>38442</v>
      </c>
      <c r="D89" s="111">
        <f t="shared" si="10"/>
        <v>90</v>
      </c>
      <c r="E89" s="112">
        <v>4.75</v>
      </c>
      <c r="F89" s="113">
        <f t="shared" si="12"/>
        <v>359679.30299576069</v>
      </c>
      <c r="G89" s="114">
        <f>+D89/365*E89/100*F89</f>
        <v>4212.6822474161017</v>
      </c>
      <c r="H89" s="114"/>
      <c r="I89" s="115"/>
      <c r="J89" s="129">
        <f t="shared" si="13"/>
        <v>363891.98524317681</v>
      </c>
    </row>
    <row r="90" spans="1:10" x14ac:dyDescent="0.2">
      <c r="A90" s="109" t="s">
        <v>40</v>
      </c>
      <c r="B90" s="110">
        <v>38443</v>
      </c>
      <c r="C90" s="110">
        <v>38533</v>
      </c>
      <c r="D90" s="111">
        <f t="shared" si="10"/>
        <v>91</v>
      </c>
      <c r="E90" s="112">
        <v>5.3</v>
      </c>
      <c r="F90" s="113">
        <f t="shared" si="12"/>
        <v>363891.98524317681</v>
      </c>
      <c r="G90" s="114">
        <f>+D90/365*E90/100*F90</f>
        <v>4808.3590269255938</v>
      </c>
      <c r="H90" s="114"/>
      <c r="I90" s="115"/>
      <c r="J90" s="129">
        <f t="shared" si="13"/>
        <v>368700.34427010239</v>
      </c>
    </row>
    <row r="91" spans="1:10" x14ac:dyDescent="0.2">
      <c r="A91" s="109" t="s">
        <v>42</v>
      </c>
      <c r="B91" s="110">
        <v>38534</v>
      </c>
      <c r="C91" s="110">
        <v>38625</v>
      </c>
      <c r="D91" s="111">
        <f t="shared" si="10"/>
        <v>92</v>
      </c>
      <c r="E91" s="112">
        <v>5.77</v>
      </c>
      <c r="F91" s="113">
        <f t="shared" si="12"/>
        <v>368700.34427010239</v>
      </c>
      <c r="G91" s="114">
        <f>+D91/365*E91/100*F91</f>
        <v>5362.2161849956483</v>
      </c>
      <c r="H91" s="114">
        <f>E$13/20</f>
        <v>16032.9</v>
      </c>
      <c r="I91" s="115">
        <f>G$92/20</f>
        <v>2670.228022754904</v>
      </c>
      <c r="J91" s="129">
        <f t="shared" si="13"/>
        <v>374062.56045509805</v>
      </c>
    </row>
    <row r="92" spans="1:10" x14ac:dyDescent="0.2">
      <c r="A92" s="117"/>
      <c r="B92" s="118"/>
      <c r="C92" s="118"/>
      <c r="D92" s="130"/>
      <c r="E92" s="393" t="s">
        <v>132</v>
      </c>
      <c r="F92" s="394"/>
      <c r="G92" s="120">
        <f>SUM(G78:G91)</f>
        <v>53404.560455098079</v>
      </c>
      <c r="H92" s="120"/>
      <c r="I92" s="121"/>
      <c r="J92" s="135"/>
    </row>
    <row r="93" spans="1:10" x14ac:dyDescent="0.2">
      <c r="A93" s="123" t="s">
        <v>36</v>
      </c>
      <c r="B93" s="110">
        <v>38626</v>
      </c>
      <c r="C93" s="110">
        <v>38717</v>
      </c>
      <c r="D93" s="111">
        <f>+C93-B93+1</f>
        <v>92</v>
      </c>
      <c r="E93" s="122">
        <v>6.23</v>
      </c>
      <c r="F93" s="131">
        <f>F$78+G$92-SUM(H$91:H92)-SUM(I$91:I92)</f>
        <v>355359.43243234314</v>
      </c>
      <c r="G93" s="114">
        <f>+D93/365*E93/100*F93</f>
        <v>5580.2140354225148</v>
      </c>
      <c r="H93" s="114">
        <f>E$13/20</f>
        <v>16032.9</v>
      </c>
      <c r="I93" s="116">
        <f>G$92/20</f>
        <v>2670.228022754904</v>
      </c>
      <c r="J93" s="134"/>
    </row>
    <row r="94" spans="1:10" x14ac:dyDescent="0.2">
      <c r="A94" s="109" t="s">
        <v>76</v>
      </c>
      <c r="B94" s="110">
        <f>C93+1</f>
        <v>38718</v>
      </c>
      <c r="C94" s="110">
        <v>38807</v>
      </c>
      <c r="D94" s="111">
        <f t="shared" ref="D94:D101" si="14">+C94-B94+1</f>
        <v>90</v>
      </c>
      <c r="E94" s="112">
        <v>6.78</v>
      </c>
      <c r="F94" s="131">
        <f>F$78+G$92-SUM(H$91:H93)-SUM(I$91:I93)</f>
        <v>336656.30440958828</v>
      </c>
      <c r="G94" s="114">
        <f t="shared" ref="G94:G101" si="15">+D94/365*E94/100*F94</f>
        <v>5628.1555328967324</v>
      </c>
      <c r="H94" s="114">
        <f t="shared" ref="H94:H101" si="16">E$13/20</f>
        <v>16032.9</v>
      </c>
      <c r="I94" s="116">
        <f t="shared" ref="I94:I101" si="17">G$92/20</f>
        <v>2670.228022754904</v>
      </c>
      <c r="J94" s="134"/>
    </row>
    <row r="95" spans="1:10" x14ac:dyDescent="0.2">
      <c r="A95" s="109" t="s">
        <v>77</v>
      </c>
      <c r="B95" s="110">
        <f t="shared" ref="B95:B112" si="18">C94+1</f>
        <v>38808</v>
      </c>
      <c r="C95" s="110">
        <v>38898</v>
      </c>
      <c r="D95" s="111">
        <f t="shared" si="14"/>
        <v>91</v>
      </c>
      <c r="E95" s="112">
        <v>7.3</v>
      </c>
      <c r="F95" s="131">
        <f>F$78+G$92-SUM(H$91:H94)-SUM(I$91:I94)</f>
        <v>317953.17638683331</v>
      </c>
      <c r="G95" s="114">
        <f t="shared" si="15"/>
        <v>5786.7478102403666</v>
      </c>
      <c r="H95" s="114">
        <f t="shared" si="16"/>
        <v>16032.9</v>
      </c>
      <c r="I95" s="116">
        <f t="shared" si="17"/>
        <v>2670.228022754904</v>
      </c>
      <c r="J95" s="134"/>
    </row>
    <row r="96" spans="1:10" x14ac:dyDescent="0.2">
      <c r="A96" s="109" t="s">
        <v>78</v>
      </c>
      <c r="B96" s="110">
        <f t="shared" si="18"/>
        <v>38899</v>
      </c>
      <c r="C96" s="110">
        <v>38990</v>
      </c>
      <c r="D96" s="111">
        <f t="shared" si="14"/>
        <v>92</v>
      </c>
      <c r="E96" s="111">
        <v>7.74</v>
      </c>
      <c r="F96" s="131">
        <f>F$78+G$92-SUM(H$91:H95)-SUM(I$91:I95)</f>
        <v>299250.04836407845</v>
      </c>
      <c r="G96" s="114">
        <f t="shared" si="15"/>
        <v>5838.0814914820012</v>
      </c>
      <c r="H96" s="114">
        <f t="shared" si="16"/>
        <v>16032.9</v>
      </c>
      <c r="I96" s="116">
        <f t="shared" si="17"/>
        <v>2670.228022754904</v>
      </c>
      <c r="J96" s="134"/>
    </row>
    <row r="97" spans="1:10" x14ac:dyDescent="0.2">
      <c r="A97" s="109" t="s">
        <v>79</v>
      </c>
      <c r="B97" s="110">
        <f t="shared" si="18"/>
        <v>38991</v>
      </c>
      <c r="C97" s="110">
        <v>39082</v>
      </c>
      <c r="D97" s="111">
        <f t="shared" si="14"/>
        <v>92</v>
      </c>
      <c r="E97" s="111">
        <v>8.17</v>
      </c>
      <c r="F97" s="131">
        <f>F$78+G$92-SUM(H$91:H96)-SUM(I$91:I96)</f>
        <v>280546.92034132354</v>
      </c>
      <c r="G97" s="114">
        <f t="shared" si="15"/>
        <v>5777.2681426123954</v>
      </c>
      <c r="H97" s="114">
        <f t="shared" si="16"/>
        <v>16032.9</v>
      </c>
      <c r="I97" s="116">
        <f t="shared" si="17"/>
        <v>2670.228022754904</v>
      </c>
      <c r="J97" s="134"/>
    </row>
    <row r="98" spans="1:10" x14ac:dyDescent="0.2">
      <c r="A98" s="109" t="s">
        <v>80</v>
      </c>
      <c r="B98" s="110">
        <f t="shared" si="18"/>
        <v>39083</v>
      </c>
      <c r="C98" s="110">
        <v>39172</v>
      </c>
      <c r="D98" s="111">
        <f t="shared" si="14"/>
        <v>90</v>
      </c>
      <c r="E98" s="111">
        <v>8.25</v>
      </c>
      <c r="F98" s="131">
        <f>F$78+G$92-SUM(H$91:H97)-SUM(I$91:I97)</f>
        <v>261843.79231856859</v>
      </c>
      <c r="G98" s="114">
        <f t="shared" si="15"/>
        <v>5326.5483779873193</v>
      </c>
      <c r="H98" s="114">
        <f t="shared" si="16"/>
        <v>16032.9</v>
      </c>
      <c r="I98" s="116">
        <f t="shared" si="17"/>
        <v>2670.228022754904</v>
      </c>
      <c r="J98" s="134"/>
    </row>
    <row r="99" spans="1:10" x14ac:dyDescent="0.2">
      <c r="A99" s="109" t="s">
        <v>81</v>
      </c>
      <c r="B99" s="110">
        <f t="shared" si="18"/>
        <v>39173</v>
      </c>
      <c r="C99" s="110">
        <v>39263</v>
      </c>
      <c r="D99" s="111">
        <f t="shared" si="14"/>
        <v>91</v>
      </c>
      <c r="E99" s="111">
        <v>8.25</v>
      </c>
      <c r="F99" s="131">
        <f>F$78+G$92-SUM(H$91:H98)-SUM(I$91:I98)</f>
        <v>243140.66429581374</v>
      </c>
      <c r="G99" s="114">
        <f t="shared" si="15"/>
        <v>5001.0370882214293</v>
      </c>
      <c r="H99" s="114">
        <f t="shared" si="16"/>
        <v>16032.9</v>
      </c>
      <c r="I99" s="116">
        <f t="shared" si="17"/>
        <v>2670.228022754904</v>
      </c>
      <c r="J99" s="134"/>
    </row>
    <row r="100" spans="1:10" x14ac:dyDescent="0.2">
      <c r="A100" s="109" t="s">
        <v>82</v>
      </c>
      <c r="B100" s="110">
        <f t="shared" si="18"/>
        <v>39264</v>
      </c>
      <c r="C100" s="110">
        <v>39355</v>
      </c>
      <c r="D100" s="111">
        <f t="shared" si="14"/>
        <v>92</v>
      </c>
      <c r="E100" s="111">
        <v>8.25</v>
      </c>
      <c r="F100" s="131">
        <f>F$78+G$92-SUM(H$91:H99)-SUM(I$91:I99)</f>
        <v>224437.53627305882</v>
      </c>
      <c r="G100" s="114">
        <f t="shared" si="15"/>
        <v>4667.0709597603191</v>
      </c>
      <c r="H100" s="114">
        <f t="shared" si="16"/>
        <v>16032.9</v>
      </c>
      <c r="I100" s="116">
        <f t="shared" si="17"/>
        <v>2670.228022754904</v>
      </c>
      <c r="J100" s="134"/>
    </row>
    <row r="101" spans="1:10" x14ac:dyDescent="0.2">
      <c r="A101" s="123" t="s">
        <v>83</v>
      </c>
      <c r="B101" s="110">
        <f t="shared" si="18"/>
        <v>39356</v>
      </c>
      <c r="C101" s="110">
        <v>39447</v>
      </c>
      <c r="D101" s="111">
        <f t="shared" si="14"/>
        <v>92</v>
      </c>
      <c r="E101" s="111">
        <v>8.25</v>
      </c>
      <c r="F101" s="131">
        <f>F$78+G$92-SUM(H$91:H100)-SUM(I$91:I100)</f>
        <v>205734.40825030394</v>
      </c>
      <c r="G101" s="114">
        <f t="shared" si="15"/>
        <v>4278.148379780293</v>
      </c>
      <c r="H101" s="114">
        <f t="shared" si="16"/>
        <v>16032.9</v>
      </c>
      <c r="I101" s="116">
        <f t="shared" si="17"/>
        <v>2670.228022754904</v>
      </c>
      <c r="J101" s="134"/>
    </row>
    <row r="102" spans="1:10" x14ac:dyDescent="0.2">
      <c r="A102" s="123" t="s">
        <v>105</v>
      </c>
      <c r="B102" s="110">
        <f t="shared" si="18"/>
        <v>39448</v>
      </c>
      <c r="C102" s="110">
        <v>39538</v>
      </c>
      <c r="D102" s="111">
        <f t="shared" ref="D102:D112" si="19">+C102-B102+1</f>
        <v>91</v>
      </c>
      <c r="E102" s="111">
        <v>7.76</v>
      </c>
      <c r="F102" s="131">
        <f>F$78+G$92-SUM(H$91:H101)-SUM(I$91:I101)</f>
        <v>187031.28022754902</v>
      </c>
      <c r="G102" s="114">
        <f>+D102/366*E102/100*F102</f>
        <v>3608.5794766526237</v>
      </c>
      <c r="H102" s="114">
        <f t="shared" ref="H102:H111" si="20">E$13/20</f>
        <v>16032.9</v>
      </c>
      <c r="I102" s="115">
        <f t="shared" ref="I102:I111" si="21">G$92/20</f>
        <v>2670.228022754904</v>
      </c>
      <c r="J102" s="96"/>
    </row>
    <row r="103" spans="1:10" x14ac:dyDescent="0.2">
      <c r="A103" s="123" t="s">
        <v>106</v>
      </c>
      <c r="B103" s="110">
        <f t="shared" si="18"/>
        <v>39539</v>
      </c>
      <c r="C103" s="110">
        <v>39629</v>
      </c>
      <c r="D103" s="111">
        <f t="shared" si="19"/>
        <v>91</v>
      </c>
      <c r="E103" s="111">
        <v>6.77</v>
      </c>
      <c r="F103" s="131">
        <f>F$78+G$92-SUM(H$91:H102)-SUM(I$91:I102)</f>
        <v>168328.15220479414</v>
      </c>
      <c r="G103" s="114">
        <f>+D103/366*E103/100*F103</f>
        <v>2833.3859215521179</v>
      </c>
      <c r="H103" s="114">
        <f t="shared" si="20"/>
        <v>16032.9</v>
      </c>
      <c r="I103" s="115">
        <f t="shared" si="21"/>
        <v>2670.228022754904</v>
      </c>
      <c r="J103" s="96"/>
    </row>
    <row r="104" spans="1:10" x14ac:dyDescent="0.2">
      <c r="A104" s="123" t="s">
        <v>107</v>
      </c>
      <c r="B104" s="110">
        <f t="shared" si="18"/>
        <v>39630</v>
      </c>
      <c r="C104" s="110">
        <v>39721</v>
      </c>
      <c r="D104" s="111">
        <f t="shared" si="19"/>
        <v>92</v>
      </c>
      <c r="E104" s="111">
        <v>5.3</v>
      </c>
      <c r="F104" s="131">
        <f>F$78+G$92-SUM(H$91:H103)-SUM(I$91:I103)</f>
        <v>149625.02418203923</v>
      </c>
      <c r="G104" s="114">
        <f>+D104/366*E104/100*F104</f>
        <v>1993.3650762612658</v>
      </c>
      <c r="H104" s="114">
        <f t="shared" si="20"/>
        <v>16032.9</v>
      </c>
      <c r="I104" s="115">
        <f t="shared" si="21"/>
        <v>2670.228022754904</v>
      </c>
      <c r="J104" s="96"/>
    </row>
    <row r="105" spans="1:10" x14ac:dyDescent="0.2">
      <c r="A105" s="123" t="s">
        <v>100</v>
      </c>
      <c r="B105" s="110">
        <f t="shared" si="18"/>
        <v>39722</v>
      </c>
      <c r="C105" s="110">
        <v>39813</v>
      </c>
      <c r="D105" s="111">
        <f t="shared" si="19"/>
        <v>92</v>
      </c>
      <c r="E105" s="111">
        <v>5</v>
      </c>
      <c r="F105" s="131">
        <f>F$78+G$92-SUM(H$91:H104)-SUM(I$91:I104)</f>
        <v>130921.89615928434</v>
      </c>
      <c r="G105" s="114">
        <f>+D105/366*E105/100*F105</f>
        <v>1645.4664544609507</v>
      </c>
      <c r="H105" s="114">
        <f t="shared" si="20"/>
        <v>16032.9</v>
      </c>
      <c r="I105" s="115">
        <f t="shared" si="21"/>
        <v>2670.228022754904</v>
      </c>
      <c r="J105" s="96"/>
    </row>
    <row r="106" spans="1:10" x14ac:dyDescent="0.2">
      <c r="A106" s="123" t="s">
        <v>108</v>
      </c>
      <c r="B106" s="110">
        <f t="shared" si="18"/>
        <v>39814</v>
      </c>
      <c r="C106" s="110">
        <v>39903</v>
      </c>
      <c r="D106" s="111">
        <f t="shared" si="19"/>
        <v>90</v>
      </c>
      <c r="E106" s="111">
        <v>4.5199999999999996</v>
      </c>
      <c r="F106" s="131">
        <f>F$78+G$92-SUM(H$91:H105)-SUM(I$91:I105)</f>
        <v>112218.76813652944</v>
      </c>
      <c r="G106" s="114">
        <f t="shared" ref="G106:G112" si="22">+D106/365*E106/100*F106</f>
        <v>1250.7012295326076</v>
      </c>
      <c r="H106" s="114">
        <f t="shared" si="20"/>
        <v>16032.9</v>
      </c>
      <c r="I106" s="115">
        <f t="shared" si="21"/>
        <v>2670.228022754904</v>
      </c>
      <c r="J106" s="96"/>
    </row>
    <row r="107" spans="1:10" x14ac:dyDescent="0.2">
      <c r="A107" s="123" t="s">
        <v>109</v>
      </c>
      <c r="B107" s="110">
        <f t="shared" si="18"/>
        <v>39904</v>
      </c>
      <c r="C107" s="110">
        <v>39994</v>
      </c>
      <c r="D107" s="111">
        <f t="shared" si="19"/>
        <v>91</v>
      </c>
      <c r="E107" s="111">
        <v>3.37</v>
      </c>
      <c r="F107" s="131">
        <f>F$78+G$92-SUM(H$91:H106)-SUM(I$91:I106)</f>
        <v>93515.640113774542</v>
      </c>
      <c r="G107" s="114">
        <f t="shared" si="22"/>
        <v>785.71072201893799</v>
      </c>
      <c r="H107" s="114">
        <f t="shared" si="20"/>
        <v>16032.9</v>
      </c>
      <c r="I107" s="115">
        <f t="shared" si="21"/>
        <v>2670.228022754904</v>
      </c>
      <c r="J107" s="96"/>
    </row>
    <row r="108" spans="1:10" x14ac:dyDescent="0.2">
      <c r="A108" s="123" t="s">
        <v>111</v>
      </c>
      <c r="B108" s="110">
        <f t="shared" si="18"/>
        <v>39995</v>
      </c>
      <c r="C108" s="110">
        <v>40086</v>
      </c>
      <c r="D108" s="111">
        <f t="shared" si="19"/>
        <v>92</v>
      </c>
      <c r="E108" s="111">
        <v>3.25</v>
      </c>
      <c r="F108" s="131">
        <f>F$78+G$92-SUM(H$91:H107)-SUM(I$91:I107)</f>
        <v>74812.512091019642</v>
      </c>
      <c r="G108" s="114">
        <f t="shared" si="22"/>
        <v>612.84770178670897</v>
      </c>
      <c r="H108" s="114">
        <f t="shared" si="20"/>
        <v>16032.9</v>
      </c>
      <c r="I108" s="115">
        <f t="shared" si="21"/>
        <v>2670.228022754904</v>
      </c>
      <c r="J108" s="96"/>
    </row>
    <row r="109" spans="1:10" x14ac:dyDescent="0.2">
      <c r="A109" s="123" t="s">
        <v>101</v>
      </c>
      <c r="B109" s="110">
        <f t="shared" si="18"/>
        <v>40087</v>
      </c>
      <c r="C109" s="110">
        <v>40178</v>
      </c>
      <c r="D109" s="111">
        <f t="shared" si="19"/>
        <v>92</v>
      </c>
      <c r="E109" s="111">
        <f>E108</f>
        <v>3.25</v>
      </c>
      <c r="F109" s="131">
        <f>F$78+G$92-SUM(H$91:H108)-SUM(I$91:I108)</f>
        <v>56109.384068264742</v>
      </c>
      <c r="G109" s="114">
        <f t="shared" si="22"/>
        <v>459.63577634003178</v>
      </c>
      <c r="H109" s="114">
        <f t="shared" si="20"/>
        <v>16032.9</v>
      </c>
      <c r="I109" s="115">
        <f t="shared" si="21"/>
        <v>2670.228022754904</v>
      </c>
      <c r="J109" s="96"/>
    </row>
    <row r="110" spans="1:10" x14ac:dyDescent="0.2">
      <c r="A110" s="123" t="s">
        <v>112</v>
      </c>
      <c r="B110" s="110">
        <f t="shared" si="18"/>
        <v>40179</v>
      </c>
      <c r="C110" s="110">
        <v>40268</v>
      </c>
      <c r="D110" s="111">
        <f t="shared" si="19"/>
        <v>90</v>
      </c>
      <c r="E110" s="111">
        <f>E109</f>
        <v>3.25</v>
      </c>
      <c r="F110" s="131">
        <f>F$78+G$92-SUM(H$91:H109)-SUM(I$91:I109)</f>
        <v>37406.256045509814</v>
      </c>
      <c r="G110" s="114">
        <f t="shared" si="22"/>
        <v>299.76246283045532</v>
      </c>
      <c r="H110" s="114">
        <f t="shared" si="20"/>
        <v>16032.9</v>
      </c>
      <c r="I110" s="115">
        <f t="shared" si="21"/>
        <v>2670.228022754904</v>
      </c>
      <c r="J110" s="96"/>
    </row>
    <row r="111" spans="1:10" x14ac:dyDescent="0.2">
      <c r="A111" s="123" t="s">
        <v>113</v>
      </c>
      <c r="B111" s="110">
        <f t="shared" si="18"/>
        <v>40269</v>
      </c>
      <c r="C111" s="110">
        <v>40359</v>
      </c>
      <c r="D111" s="111">
        <f t="shared" si="19"/>
        <v>91</v>
      </c>
      <c r="E111" s="111">
        <f>E110</f>
        <v>3.25</v>
      </c>
      <c r="F111" s="131">
        <f>F$78+G$92-SUM(H$91:H110)-SUM(I$91:I110)</f>
        <v>18703.128022754885</v>
      </c>
      <c r="G111" s="114">
        <f t="shared" si="22"/>
        <v>151.54657843095225</v>
      </c>
      <c r="H111" s="114">
        <f t="shared" si="20"/>
        <v>16032.9</v>
      </c>
      <c r="I111" s="115">
        <f t="shared" si="21"/>
        <v>2670.228022754904</v>
      </c>
      <c r="J111" s="96"/>
    </row>
    <row r="112" spans="1:10" x14ac:dyDescent="0.2">
      <c r="A112" s="124" t="s">
        <v>114</v>
      </c>
      <c r="B112" s="125">
        <f t="shared" si="18"/>
        <v>40360</v>
      </c>
      <c r="C112" s="125">
        <v>40451</v>
      </c>
      <c r="D112" s="126">
        <f t="shared" si="19"/>
        <v>92</v>
      </c>
      <c r="E112" s="111">
        <v>3.25</v>
      </c>
      <c r="F112" s="133">
        <f>F$78+G$92-SUM(H$91:H111)-SUM(I$91:I111)</f>
        <v>0</v>
      </c>
      <c r="G112" s="127">
        <f t="shared" si="22"/>
        <v>0</v>
      </c>
      <c r="H112" s="127">
        <v>0</v>
      </c>
      <c r="I112" s="128">
        <v>0</v>
      </c>
      <c r="J112" s="96"/>
    </row>
    <row r="113" spans="1:10" x14ac:dyDescent="0.2">
      <c r="A113" s="23"/>
      <c r="B113" s="49"/>
      <c r="C113" s="49"/>
      <c r="D113" s="23"/>
      <c r="E113" s="94"/>
      <c r="F113" s="54"/>
      <c r="G113" s="54"/>
      <c r="H113" s="74"/>
      <c r="I113" s="74"/>
      <c r="J113" s="56"/>
    </row>
    <row r="114" spans="1:10" x14ac:dyDescent="0.2">
      <c r="A114" s="387" t="s">
        <v>52</v>
      </c>
      <c r="B114" s="388"/>
      <c r="C114" s="388"/>
      <c r="D114" s="388"/>
      <c r="E114" s="388"/>
      <c r="F114" s="388"/>
      <c r="G114" s="388"/>
      <c r="H114" s="388"/>
      <c r="I114" s="388"/>
      <c r="J114" s="389"/>
    </row>
    <row r="115" spans="1:10" x14ac:dyDescent="0.2">
      <c r="A115" s="30" t="s">
        <v>10</v>
      </c>
      <c r="B115" s="30" t="s">
        <v>11</v>
      </c>
      <c r="C115" s="30" t="s">
        <v>12</v>
      </c>
      <c r="D115" s="30" t="s">
        <v>13</v>
      </c>
      <c r="E115" s="30" t="s">
        <v>14</v>
      </c>
      <c r="F115" s="30" t="s">
        <v>15</v>
      </c>
      <c r="G115" s="30" t="s">
        <v>16</v>
      </c>
      <c r="H115" s="30"/>
      <c r="I115" s="30"/>
      <c r="J115" s="30" t="s">
        <v>17</v>
      </c>
    </row>
    <row r="116" spans="1:10" ht="51" x14ac:dyDescent="0.2">
      <c r="A116" s="70" t="s">
        <v>18</v>
      </c>
      <c r="B116" s="70" t="s">
        <v>19</v>
      </c>
      <c r="C116" s="70" t="s">
        <v>20</v>
      </c>
      <c r="D116" s="70" t="s">
        <v>21</v>
      </c>
      <c r="E116" s="70" t="s">
        <v>22</v>
      </c>
      <c r="F116" s="70" t="s">
        <v>23</v>
      </c>
      <c r="G116" s="6" t="s">
        <v>130</v>
      </c>
      <c r="H116" s="6" t="s">
        <v>37</v>
      </c>
      <c r="I116" s="6" t="s">
        <v>131</v>
      </c>
      <c r="J116" s="70" t="s">
        <v>25</v>
      </c>
    </row>
    <row r="117" spans="1:10" x14ac:dyDescent="0.2">
      <c r="A117" s="102" t="s">
        <v>46</v>
      </c>
      <c r="B117" s="103">
        <f>B14</f>
        <v>37411</v>
      </c>
      <c r="C117" s="103">
        <v>37437</v>
      </c>
      <c r="D117" s="104">
        <f t="shared" ref="D117:D124" si="23">+C117-B117+1</f>
        <v>27</v>
      </c>
      <c r="E117" s="105">
        <v>4.78</v>
      </c>
      <c r="F117" s="106">
        <f>E14</f>
        <v>32711</v>
      </c>
      <c r="G117" s="107">
        <f t="shared" ref="G117:G123" si="24">+D117/365*E117/100*F117</f>
        <v>115.66251123287672</v>
      </c>
      <c r="H117" s="107"/>
      <c r="I117" s="108"/>
      <c r="J117" s="142">
        <f t="shared" ref="J117:J130" si="25">F117+G117</f>
        <v>32826.662511232877</v>
      </c>
    </row>
    <row r="118" spans="1:10" x14ac:dyDescent="0.2">
      <c r="A118" s="109" t="s">
        <v>47</v>
      </c>
      <c r="B118" s="110">
        <v>37438</v>
      </c>
      <c r="C118" s="110">
        <v>37529</v>
      </c>
      <c r="D118" s="111">
        <f t="shared" si="23"/>
        <v>92</v>
      </c>
      <c r="E118" s="112">
        <v>4.75</v>
      </c>
      <c r="F118" s="113">
        <f>J117</f>
        <v>32826.662511232877</v>
      </c>
      <c r="G118" s="114">
        <f t="shared" si="24"/>
        <v>393.02058951804844</v>
      </c>
      <c r="H118" s="114"/>
      <c r="I118" s="115"/>
      <c r="J118" s="129">
        <f t="shared" si="25"/>
        <v>33219.683100750924</v>
      </c>
    </row>
    <row r="119" spans="1:10" x14ac:dyDescent="0.2">
      <c r="A119" s="109" t="s">
        <v>48</v>
      </c>
      <c r="B119" s="110">
        <v>37530</v>
      </c>
      <c r="C119" s="110">
        <v>37621</v>
      </c>
      <c r="D119" s="111">
        <f t="shared" si="23"/>
        <v>92</v>
      </c>
      <c r="E119" s="112">
        <v>4.75</v>
      </c>
      <c r="F119" s="113">
        <f>J118</f>
        <v>33219.683100750924</v>
      </c>
      <c r="G119" s="114">
        <f t="shared" si="24"/>
        <v>397.72606890488095</v>
      </c>
      <c r="H119" s="114"/>
      <c r="I119" s="115"/>
      <c r="J119" s="129">
        <f t="shared" si="25"/>
        <v>33617.409169655803</v>
      </c>
    </row>
    <row r="120" spans="1:10" x14ac:dyDescent="0.2">
      <c r="A120" s="109" t="s">
        <v>26</v>
      </c>
      <c r="B120" s="110">
        <v>37622</v>
      </c>
      <c r="C120" s="110">
        <v>37711</v>
      </c>
      <c r="D120" s="111">
        <f t="shared" si="23"/>
        <v>90</v>
      </c>
      <c r="E120" s="112">
        <v>4.62</v>
      </c>
      <c r="F120" s="113">
        <f>J119</f>
        <v>33617.409169655803</v>
      </c>
      <c r="G120" s="114">
        <f t="shared" si="24"/>
        <v>382.96215706144881</v>
      </c>
      <c r="H120" s="114"/>
      <c r="I120" s="115"/>
      <c r="J120" s="129">
        <f t="shared" si="25"/>
        <v>34000.37132671725</v>
      </c>
    </row>
    <row r="121" spans="1:10" x14ac:dyDescent="0.2">
      <c r="A121" s="109" t="s">
        <v>27</v>
      </c>
      <c r="B121" s="110">
        <v>37712</v>
      </c>
      <c r="C121" s="110">
        <v>37802</v>
      </c>
      <c r="D121" s="111">
        <f t="shared" si="23"/>
        <v>91</v>
      </c>
      <c r="E121" s="112">
        <v>4.25</v>
      </c>
      <c r="F121" s="113">
        <f>J120</f>
        <v>34000.37132671725</v>
      </c>
      <c r="G121" s="114">
        <f t="shared" si="24"/>
        <v>360.26420850980537</v>
      </c>
      <c r="H121" s="114"/>
      <c r="I121" s="115"/>
      <c r="J121" s="129">
        <f t="shared" si="25"/>
        <v>34360.635535227055</v>
      </c>
    </row>
    <row r="122" spans="1:10" x14ac:dyDescent="0.2">
      <c r="A122" s="109" t="s">
        <v>28</v>
      </c>
      <c r="B122" s="110">
        <v>37803</v>
      </c>
      <c r="C122" s="110">
        <v>37894</v>
      </c>
      <c r="D122" s="111">
        <f t="shared" si="23"/>
        <v>92</v>
      </c>
      <c r="E122" s="112">
        <v>4.25</v>
      </c>
      <c r="F122" s="113">
        <f>J121</f>
        <v>34360.635535227055</v>
      </c>
      <c r="G122" s="114">
        <f t="shared" si="24"/>
        <v>368.08242450065148</v>
      </c>
      <c r="H122" s="114"/>
      <c r="I122" s="115"/>
      <c r="J122" s="129">
        <f t="shared" si="25"/>
        <v>34728.717959727706</v>
      </c>
    </row>
    <row r="123" spans="1:10" x14ac:dyDescent="0.2">
      <c r="A123" s="109" t="s">
        <v>29</v>
      </c>
      <c r="B123" s="110">
        <v>37895</v>
      </c>
      <c r="C123" s="110">
        <v>37986</v>
      </c>
      <c r="D123" s="111">
        <f t="shared" si="23"/>
        <v>92</v>
      </c>
      <c r="E123" s="112">
        <v>4.07</v>
      </c>
      <c r="F123" s="113">
        <f t="shared" ref="F123:F130" si="26">J122</f>
        <v>34728.717959727706</v>
      </c>
      <c r="G123" s="114">
        <f t="shared" si="24"/>
        <v>356.2690726805601</v>
      </c>
      <c r="H123" s="114"/>
      <c r="I123" s="115"/>
      <c r="J123" s="129">
        <f t="shared" si="25"/>
        <v>35084.987032408266</v>
      </c>
    </row>
    <row r="124" spans="1:10" x14ac:dyDescent="0.2">
      <c r="A124" s="109" t="s">
        <v>30</v>
      </c>
      <c r="B124" s="110">
        <v>37987</v>
      </c>
      <c r="C124" s="110">
        <v>38077</v>
      </c>
      <c r="D124" s="111">
        <f t="shared" si="23"/>
        <v>91</v>
      </c>
      <c r="E124" s="112">
        <v>4</v>
      </c>
      <c r="F124" s="113">
        <f t="shared" si="26"/>
        <v>35084.987032408266</v>
      </c>
      <c r="G124" s="114">
        <f>+D124/366*E124/100*F124</f>
        <v>348.93265791794016</v>
      </c>
      <c r="H124" s="114"/>
      <c r="I124" s="115"/>
      <c r="J124" s="129">
        <f t="shared" si="25"/>
        <v>35433.919690326205</v>
      </c>
    </row>
    <row r="125" spans="1:10" x14ac:dyDescent="0.2">
      <c r="A125" s="109" t="s">
        <v>44</v>
      </c>
      <c r="B125" s="110">
        <v>38078</v>
      </c>
      <c r="C125" s="110">
        <v>38168</v>
      </c>
      <c r="D125" s="111">
        <f t="shared" ref="D125:D130" si="27">+C125-B125+1</f>
        <v>91</v>
      </c>
      <c r="E125" s="112">
        <v>4</v>
      </c>
      <c r="F125" s="113">
        <f t="shared" si="26"/>
        <v>35433.919690326205</v>
      </c>
      <c r="G125" s="114">
        <f>+D125/366*E125/100*F125</f>
        <v>352.40291713876337</v>
      </c>
      <c r="H125" s="114"/>
      <c r="I125" s="115"/>
      <c r="J125" s="129">
        <f t="shared" si="25"/>
        <v>35786.322607464972</v>
      </c>
    </row>
    <row r="126" spans="1:10" x14ac:dyDescent="0.2">
      <c r="A126" s="109" t="s">
        <v>41</v>
      </c>
      <c r="B126" s="110">
        <v>38169</v>
      </c>
      <c r="C126" s="110">
        <v>38260</v>
      </c>
      <c r="D126" s="111">
        <f t="shared" si="27"/>
        <v>92</v>
      </c>
      <c r="E126" s="112">
        <v>4</v>
      </c>
      <c r="F126" s="113">
        <f t="shared" si="26"/>
        <v>35786.322607464972</v>
      </c>
      <c r="G126" s="114">
        <f>+D126/366*E126/100*F126</f>
        <v>359.81876282915601</v>
      </c>
      <c r="H126" s="114"/>
      <c r="I126" s="115"/>
      <c r="J126" s="129">
        <f t="shared" si="25"/>
        <v>36146.141370294128</v>
      </c>
    </row>
    <row r="127" spans="1:10" x14ac:dyDescent="0.2">
      <c r="A127" s="109" t="s">
        <v>45</v>
      </c>
      <c r="B127" s="110">
        <v>38261</v>
      </c>
      <c r="C127" s="110">
        <v>38352</v>
      </c>
      <c r="D127" s="111">
        <f t="shared" si="27"/>
        <v>92</v>
      </c>
      <c r="E127" s="112">
        <v>4.22</v>
      </c>
      <c r="F127" s="113">
        <f t="shared" si="26"/>
        <v>36146.141370294128</v>
      </c>
      <c r="G127" s="114">
        <f>+D127/366*E127/100*F127</f>
        <v>383.4256263825954</v>
      </c>
      <c r="H127" s="114"/>
      <c r="I127" s="115"/>
      <c r="J127" s="129">
        <f t="shared" si="25"/>
        <v>36529.566996676724</v>
      </c>
    </row>
    <row r="128" spans="1:10" x14ac:dyDescent="0.2">
      <c r="A128" s="109" t="s">
        <v>43</v>
      </c>
      <c r="B128" s="110">
        <v>38353</v>
      </c>
      <c r="C128" s="110">
        <v>38442</v>
      </c>
      <c r="D128" s="111">
        <f t="shared" si="27"/>
        <v>90</v>
      </c>
      <c r="E128" s="112">
        <v>4.75</v>
      </c>
      <c r="F128" s="113">
        <f t="shared" si="26"/>
        <v>36529.566996676724</v>
      </c>
      <c r="G128" s="114">
        <f>+D128/365*E128/100*F128</f>
        <v>427.84629838573426</v>
      </c>
      <c r="H128" s="114"/>
      <c r="I128" s="115"/>
      <c r="J128" s="129">
        <f t="shared" si="25"/>
        <v>36957.413295062455</v>
      </c>
    </row>
    <row r="129" spans="1:10" x14ac:dyDescent="0.2">
      <c r="A129" s="109" t="s">
        <v>40</v>
      </c>
      <c r="B129" s="110">
        <v>38443</v>
      </c>
      <c r="C129" s="110">
        <v>38533</v>
      </c>
      <c r="D129" s="111">
        <f t="shared" si="27"/>
        <v>91</v>
      </c>
      <c r="E129" s="112">
        <v>5.3</v>
      </c>
      <c r="F129" s="113">
        <f t="shared" si="26"/>
        <v>36957.413295062455</v>
      </c>
      <c r="G129" s="114">
        <f>+D129/365*E129/100*F129</f>
        <v>488.34412143037315</v>
      </c>
      <c r="H129" s="114"/>
      <c r="I129" s="115"/>
      <c r="J129" s="129">
        <f t="shared" si="25"/>
        <v>37445.75741649283</v>
      </c>
    </row>
    <row r="130" spans="1:10" x14ac:dyDescent="0.2">
      <c r="A130" s="109" t="s">
        <v>42</v>
      </c>
      <c r="B130" s="110">
        <v>38534</v>
      </c>
      <c r="C130" s="110">
        <v>38625</v>
      </c>
      <c r="D130" s="111">
        <f t="shared" si="27"/>
        <v>92</v>
      </c>
      <c r="E130" s="112">
        <v>5.77</v>
      </c>
      <c r="F130" s="113">
        <f t="shared" si="26"/>
        <v>37445.75741649283</v>
      </c>
      <c r="G130" s="114">
        <f>+D130/365*E130/100*F130</f>
        <v>544.5946812868782</v>
      </c>
      <c r="H130" s="114">
        <f>E$14/20</f>
        <v>1635.55</v>
      </c>
      <c r="I130" s="115">
        <f>G$131/20</f>
        <v>127.82162037267501</v>
      </c>
      <c r="J130" s="129">
        <f t="shared" si="25"/>
        <v>37990.352097779709</v>
      </c>
    </row>
    <row r="131" spans="1:10" x14ac:dyDescent="0.2">
      <c r="A131" s="117"/>
      <c r="B131" s="118"/>
      <c r="C131" s="118"/>
      <c r="D131" s="130"/>
      <c r="E131" s="393" t="s">
        <v>132</v>
      </c>
      <c r="F131" s="394"/>
      <c r="G131" s="120">
        <f>SUM(G125:G130)</f>
        <v>2556.4324074535002</v>
      </c>
      <c r="H131" s="120"/>
      <c r="I131" s="121"/>
      <c r="J131" s="135"/>
    </row>
    <row r="132" spans="1:10" x14ac:dyDescent="0.2">
      <c r="A132" s="123" t="s">
        <v>36</v>
      </c>
      <c r="B132" s="110">
        <v>38626</v>
      </c>
      <c r="C132" s="110">
        <v>38717</v>
      </c>
      <c r="D132" s="111">
        <f>+C132-B132+1</f>
        <v>92</v>
      </c>
      <c r="E132" s="122">
        <v>6.23</v>
      </c>
      <c r="F132" s="131">
        <f>F$117+G$131-SUM(H$130:H131)-SUM(I$130:I131)</f>
        <v>33504.060787080824</v>
      </c>
      <c r="G132" s="114">
        <f>+D132/365*E132/100*F132</f>
        <v>526.11472549926702</v>
      </c>
      <c r="H132" s="114">
        <f>E$14/20</f>
        <v>1635.55</v>
      </c>
      <c r="I132" s="116">
        <f>G$131/20</f>
        <v>127.82162037267501</v>
      </c>
      <c r="J132" s="134"/>
    </row>
    <row r="133" spans="1:10" x14ac:dyDescent="0.2">
      <c r="A133" s="109" t="s">
        <v>76</v>
      </c>
      <c r="B133" s="110">
        <f>C132+1</f>
        <v>38718</v>
      </c>
      <c r="C133" s="110">
        <v>38807</v>
      </c>
      <c r="D133" s="111">
        <f t="shared" ref="D133:D140" si="28">+C133-B133+1</f>
        <v>90</v>
      </c>
      <c r="E133" s="112">
        <v>6.78</v>
      </c>
      <c r="F133" s="131">
        <f>F$117+G$131-SUM(H$130:H132)-SUM(I$130:I132)</f>
        <v>31740.689166708155</v>
      </c>
      <c r="G133" s="114">
        <f t="shared" ref="G133:G140" si="29">+D133/365*E133/100*F133</f>
        <v>530.63475423357022</v>
      </c>
      <c r="H133" s="114">
        <f t="shared" ref="H133:H140" si="30">E$14/20</f>
        <v>1635.55</v>
      </c>
      <c r="I133" s="116">
        <f t="shared" ref="I133:I140" si="31">G$131/20</f>
        <v>127.82162037267501</v>
      </c>
      <c r="J133" s="134"/>
    </row>
    <row r="134" spans="1:10" x14ac:dyDescent="0.2">
      <c r="A134" s="109" t="s">
        <v>77</v>
      </c>
      <c r="B134" s="110">
        <f t="shared" ref="B134:B151" si="32">C133+1</f>
        <v>38808</v>
      </c>
      <c r="C134" s="110">
        <v>38898</v>
      </c>
      <c r="D134" s="111">
        <f t="shared" si="28"/>
        <v>91</v>
      </c>
      <c r="E134" s="112">
        <v>7.3</v>
      </c>
      <c r="F134" s="131">
        <f>F$117+G$131-SUM(H$130:H133)-SUM(I$130:I133)</f>
        <v>29977.317546335478</v>
      </c>
      <c r="G134" s="114">
        <f t="shared" si="29"/>
        <v>545.58717934330571</v>
      </c>
      <c r="H134" s="114">
        <f t="shared" si="30"/>
        <v>1635.55</v>
      </c>
      <c r="I134" s="116">
        <f t="shared" si="31"/>
        <v>127.82162037267501</v>
      </c>
      <c r="J134" s="134"/>
    </row>
    <row r="135" spans="1:10" x14ac:dyDescent="0.2">
      <c r="A135" s="109" t="s">
        <v>78</v>
      </c>
      <c r="B135" s="110">
        <f t="shared" si="32"/>
        <v>38899</v>
      </c>
      <c r="C135" s="110">
        <v>38990</v>
      </c>
      <c r="D135" s="111">
        <f t="shared" si="28"/>
        <v>92</v>
      </c>
      <c r="E135" s="111">
        <v>7.74</v>
      </c>
      <c r="F135" s="131">
        <f>F$117+G$131-SUM(H$130:H134)-SUM(I$130:I134)</f>
        <v>28213.945925962802</v>
      </c>
      <c r="G135" s="114">
        <f t="shared" si="29"/>
        <v>550.4270305468383</v>
      </c>
      <c r="H135" s="114">
        <f t="shared" si="30"/>
        <v>1635.55</v>
      </c>
      <c r="I135" s="116">
        <f t="shared" si="31"/>
        <v>127.82162037267501</v>
      </c>
      <c r="J135" s="134"/>
    </row>
    <row r="136" spans="1:10" x14ac:dyDescent="0.2">
      <c r="A136" s="109" t="s">
        <v>79</v>
      </c>
      <c r="B136" s="110">
        <f t="shared" si="32"/>
        <v>38991</v>
      </c>
      <c r="C136" s="110">
        <v>39082</v>
      </c>
      <c r="D136" s="111">
        <f t="shared" si="28"/>
        <v>92</v>
      </c>
      <c r="E136" s="111">
        <v>8.17</v>
      </c>
      <c r="F136" s="131">
        <f>F$117+G$131-SUM(H$130:H135)-SUM(I$130:I135)</f>
        <v>26450.574305590129</v>
      </c>
      <c r="G136" s="114">
        <f t="shared" si="29"/>
        <v>544.69341564530862</v>
      </c>
      <c r="H136" s="114">
        <f t="shared" si="30"/>
        <v>1635.55</v>
      </c>
      <c r="I136" s="116">
        <f t="shared" si="31"/>
        <v>127.82162037267501</v>
      </c>
      <c r="J136" s="134"/>
    </row>
    <row r="137" spans="1:10" ht="13.5" customHeight="1" x14ac:dyDescent="0.2">
      <c r="A137" s="109" t="s">
        <v>80</v>
      </c>
      <c r="B137" s="110">
        <f t="shared" si="32"/>
        <v>39083</v>
      </c>
      <c r="C137" s="110">
        <v>39172</v>
      </c>
      <c r="D137" s="111">
        <f t="shared" si="28"/>
        <v>90</v>
      </c>
      <c r="E137" s="111">
        <v>8.25</v>
      </c>
      <c r="F137" s="131">
        <f>F$117+G$131-SUM(H$130:H136)-SUM(I$130:I136)</f>
        <v>24687.202685217453</v>
      </c>
      <c r="G137" s="114">
        <f t="shared" si="29"/>
        <v>502.19857517188927</v>
      </c>
      <c r="H137" s="114">
        <f t="shared" si="30"/>
        <v>1635.55</v>
      </c>
      <c r="I137" s="116">
        <f t="shared" si="31"/>
        <v>127.82162037267501</v>
      </c>
      <c r="J137" s="134"/>
    </row>
    <row r="138" spans="1:10" x14ac:dyDescent="0.2">
      <c r="A138" s="109" t="s">
        <v>81</v>
      </c>
      <c r="B138" s="110">
        <f t="shared" si="32"/>
        <v>39173</v>
      </c>
      <c r="C138" s="110">
        <v>39263</v>
      </c>
      <c r="D138" s="111">
        <f t="shared" si="28"/>
        <v>91</v>
      </c>
      <c r="E138" s="111">
        <v>8.25</v>
      </c>
      <c r="F138" s="131">
        <f>F$117+G$131-SUM(H$130:H137)-SUM(I$130:I137)</f>
        <v>22923.83106484478</v>
      </c>
      <c r="G138" s="114">
        <f t="shared" si="29"/>
        <v>471.50866224471838</v>
      </c>
      <c r="H138" s="114">
        <f t="shared" si="30"/>
        <v>1635.55</v>
      </c>
      <c r="I138" s="116">
        <f t="shared" si="31"/>
        <v>127.82162037267501</v>
      </c>
      <c r="J138" s="134"/>
    </row>
    <row r="139" spans="1:10" x14ac:dyDescent="0.2">
      <c r="A139" s="109" t="s">
        <v>82</v>
      </c>
      <c r="B139" s="110">
        <f t="shared" si="32"/>
        <v>39264</v>
      </c>
      <c r="C139" s="110">
        <v>39355</v>
      </c>
      <c r="D139" s="111">
        <f t="shared" si="28"/>
        <v>92</v>
      </c>
      <c r="E139" s="111">
        <v>8.25</v>
      </c>
      <c r="F139" s="131">
        <f>F$117+G$131-SUM(H$130:H138)-SUM(I$130:I138)</f>
        <v>21160.459444472104</v>
      </c>
      <c r="G139" s="114">
        <f t="shared" si="29"/>
        <v>440.02160872203638</v>
      </c>
      <c r="H139" s="114">
        <f t="shared" si="30"/>
        <v>1635.55</v>
      </c>
      <c r="I139" s="116">
        <f t="shared" si="31"/>
        <v>127.82162037267501</v>
      </c>
      <c r="J139" s="134"/>
    </row>
    <row r="140" spans="1:10" x14ac:dyDescent="0.2">
      <c r="A140" s="123" t="s">
        <v>83</v>
      </c>
      <c r="B140" s="110">
        <f t="shared" si="32"/>
        <v>39356</v>
      </c>
      <c r="C140" s="110">
        <v>39447</v>
      </c>
      <c r="D140" s="111">
        <f t="shared" si="28"/>
        <v>92</v>
      </c>
      <c r="E140" s="111">
        <v>8.25</v>
      </c>
      <c r="F140" s="131">
        <f>F$117+G$131-SUM(H$130:H139)-SUM(I$130:I139)</f>
        <v>19397.087824099432</v>
      </c>
      <c r="G140" s="114">
        <f t="shared" si="29"/>
        <v>403.35314132853341</v>
      </c>
      <c r="H140" s="114">
        <f t="shared" si="30"/>
        <v>1635.55</v>
      </c>
      <c r="I140" s="116">
        <f t="shared" si="31"/>
        <v>127.82162037267501</v>
      </c>
      <c r="J140" s="134"/>
    </row>
    <row r="141" spans="1:10" x14ac:dyDescent="0.2">
      <c r="A141" s="123" t="s">
        <v>105</v>
      </c>
      <c r="B141" s="110">
        <f t="shared" si="32"/>
        <v>39448</v>
      </c>
      <c r="C141" s="110">
        <v>39538</v>
      </c>
      <c r="D141" s="111">
        <f t="shared" ref="D141:D151" si="33">+C141-B141+1</f>
        <v>91</v>
      </c>
      <c r="E141" s="111">
        <v>7.76</v>
      </c>
      <c r="F141" s="131">
        <f>F$117+G$131-SUM(H$130:H140)-SUM(I$130:I140)</f>
        <v>17633.716203726755</v>
      </c>
      <c r="G141" s="114">
        <f>+D141/366*E141/100*F141</f>
        <v>340.22472771649416</v>
      </c>
      <c r="H141" s="114">
        <f t="shared" ref="H141:H150" si="34">E$14/20</f>
        <v>1635.55</v>
      </c>
      <c r="I141" s="115">
        <f t="shared" ref="I141:I150" si="35">G$131/20</f>
        <v>127.82162037267501</v>
      </c>
      <c r="J141" s="96"/>
    </row>
    <row r="142" spans="1:10" x14ac:dyDescent="0.2">
      <c r="A142" s="123" t="s">
        <v>106</v>
      </c>
      <c r="B142" s="110">
        <f t="shared" si="32"/>
        <v>39539</v>
      </c>
      <c r="C142" s="110">
        <v>39629</v>
      </c>
      <c r="D142" s="111">
        <f t="shared" si="33"/>
        <v>91</v>
      </c>
      <c r="E142" s="111">
        <v>6.77</v>
      </c>
      <c r="F142" s="131">
        <f>F$117+G$131-SUM(H$130:H141)-SUM(I$130:I141)</f>
        <v>15870.344583354083</v>
      </c>
      <c r="G142" s="114">
        <f>+D142/366*E142/100*F142</f>
        <v>267.13779200729368</v>
      </c>
      <c r="H142" s="114">
        <f t="shared" si="34"/>
        <v>1635.55</v>
      </c>
      <c r="I142" s="115">
        <f t="shared" si="35"/>
        <v>127.82162037267501</v>
      </c>
      <c r="J142" s="96"/>
    </row>
    <row r="143" spans="1:10" x14ac:dyDescent="0.2">
      <c r="A143" s="123" t="s">
        <v>107</v>
      </c>
      <c r="B143" s="110">
        <f t="shared" si="32"/>
        <v>39630</v>
      </c>
      <c r="C143" s="110">
        <v>39721</v>
      </c>
      <c r="D143" s="111">
        <f t="shared" si="33"/>
        <v>92</v>
      </c>
      <c r="E143" s="111">
        <v>5.3</v>
      </c>
      <c r="F143" s="131">
        <f>F$117+G$131-SUM(H$130:H142)-SUM(I$130:I142)</f>
        <v>14106.972962981408</v>
      </c>
      <c r="G143" s="114">
        <f>+D143/366*E143/100*F143</f>
        <v>187.93879827185069</v>
      </c>
      <c r="H143" s="114">
        <f t="shared" si="34"/>
        <v>1635.55</v>
      </c>
      <c r="I143" s="115">
        <f t="shared" si="35"/>
        <v>127.82162037267501</v>
      </c>
      <c r="J143" s="96"/>
    </row>
    <row r="144" spans="1:10" x14ac:dyDescent="0.2">
      <c r="A144" s="123" t="s">
        <v>100</v>
      </c>
      <c r="B144" s="110">
        <f t="shared" si="32"/>
        <v>39722</v>
      </c>
      <c r="C144" s="110">
        <v>39813</v>
      </c>
      <c r="D144" s="111">
        <f t="shared" si="33"/>
        <v>92</v>
      </c>
      <c r="E144" s="111">
        <v>5</v>
      </c>
      <c r="F144" s="131">
        <f>F$117+G$131-SUM(H$130:H143)-SUM(I$130:I143)</f>
        <v>12343.601342608734</v>
      </c>
      <c r="G144" s="114">
        <f>+D144/366*E144/100*F144</f>
        <v>155.13815895082016</v>
      </c>
      <c r="H144" s="114">
        <f t="shared" si="34"/>
        <v>1635.55</v>
      </c>
      <c r="I144" s="115">
        <f t="shared" si="35"/>
        <v>127.82162037267501</v>
      </c>
      <c r="J144" s="96"/>
    </row>
    <row r="145" spans="1:10" x14ac:dyDescent="0.2">
      <c r="A145" s="123" t="s">
        <v>108</v>
      </c>
      <c r="B145" s="110">
        <f t="shared" si="32"/>
        <v>39814</v>
      </c>
      <c r="C145" s="110">
        <v>39903</v>
      </c>
      <c r="D145" s="111">
        <f t="shared" si="33"/>
        <v>90</v>
      </c>
      <c r="E145" s="111">
        <v>4.5199999999999996</v>
      </c>
      <c r="F145" s="131">
        <f>F$117+G$131-SUM(H$130:H144)-SUM(I$130:I144)</f>
        <v>10580.229722236059</v>
      </c>
      <c r="G145" s="114">
        <f t="shared" ref="G145:G151" si="36">+D145/365*E145/100*F145</f>
        <v>117.91883427412682</v>
      </c>
      <c r="H145" s="114">
        <f t="shared" si="34"/>
        <v>1635.55</v>
      </c>
      <c r="I145" s="115">
        <f t="shared" si="35"/>
        <v>127.82162037267501</v>
      </c>
      <c r="J145" s="96"/>
    </row>
    <row r="146" spans="1:10" x14ac:dyDescent="0.2">
      <c r="A146" s="123" t="s">
        <v>109</v>
      </c>
      <c r="B146" s="110">
        <f t="shared" si="32"/>
        <v>39904</v>
      </c>
      <c r="C146" s="110">
        <v>39994</v>
      </c>
      <c r="D146" s="111">
        <f t="shared" si="33"/>
        <v>91</v>
      </c>
      <c r="E146" s="111">
        <v>3.37</v>
      </c>
      <c r="F146" s="131">
        <f>F$117+G$131-SUM(H$130:H145)-SUM(I$130:I145)</f>
        <v>8816.8581018633849</v>
      </c>
      <c r="G146" s="114">
        <f t="shared" si="36"/>
        <v>74.078517098587511</v>
      </c>
      <c r="H146" s="114">
        <f t="shared" si="34"/>
        <v>1635.55</v>
      </c>
      <c r="I146" s="115">
        <f t="shared" si="35"/>
        <v>127.82162037267501</v>
      </c>
      <c r="J146" s="96"/>
    </row>
    <row r="147" spans="1:10" x14ac:dyDescent="0.2">
      <c r="A147" s="123" t="s">
        <v>111</v>
      </c>
      <c r="B147" s="110">
        <f t="shared" si="32"/>
        <v>39995</v>
      </c>
      <c r="C147" s="110">
        <v>40086</v>
      </c>
      <c r="D147" s="111">
        <f t="shared" si="33"/>
        <v>92</v>
      </c>
      <c r="E147" s="111">
        <v>3.25</v>
      </c>
      <c r="F147" s="131">
        <f>F$117+G$131-SUM(H$130:H146)-SUM(I$130:I146)</f>
        <v>7053.4864814907114</v>
      </c>
      <c r="G147" s="114">
        <f t="shared" si="36"/>
        <v>57.780615286732136</v>
      </c>
      <c r="H147" s="114">
        <f t="shared" si="34"/>
        <v>1635.55</v>
      </c>
      <c r="I147" s="115">
        <f t="shared" si="35"/>
        <v>127.82162037267501</v>
      </c>
      <c r="J147" s="96"/>
    </row>
    <row r="148" spans="1:10" x14ac:dyDescent="0.2">
      <c r="A148" s="123" t="s">
        <v>101</v>
      </c>
      <c r="B148" s="110">
        <f t="shared" si="32"/>
        <v>40087</v>
      </c>
      <c r="C148" s="110">
        <v>40178</v>
      </c>
      <c r="D148" s="111">
        <f t="shared" si="33"/>
        <v>92</v>
      </c>
      <c r="E148" s="111">
        <f>E147</f>
        <v>3.25</v>
      </c>
      <c r="F148" s="131">
        <f>F$117+G$131-SUM(H$130:H147)-SUM(I$130:I147)</f>
        <v>5290.1148611180379</v>
      </c>
      <c r="G148" s="114">
        <f t="shared" si="36"/>
        <v>43.335461465049136</v>
      </c>
      <c r="H148" s="114">
        <f t="shared" si="34"/>
        <v>1635.55</v>
      </c>
      <c r="I148" s="115">
        <f t="shared" si="35"/>
        <v>127.82162037267501</v>
      </c>
      <c r="J148" s="96"/>
    </row>
    <row r="149" spans="1:10" x14ac:dyDescent="0.2">
      <c r="A149" s="123" t="s">
        <v>112</v>
      </c>
      <c r="B149" s="110">
        <f t="shared" si="32"/>
        <v>40179</v>
      </c>
      <c r="C149" s="110">
        <v>40268</v>
      </c>
      <c r="D149" s="111">
        <f t="shared" si="33"/>
        <v>90</v>
      </c>
      <c r="E149" s="111">
        <f>E148</f>
        <v>3.25</v>
      </c>
      <c r="F149" s="131">
        <f>F$117+G$131-SUM(H$130:H148)-SUM(I$130:I148)</f>
        <v>3526.743240745363</v>
      </c>
      <c r="G149" s="114">
        <f t="shared" si="36"/>
        <v>28.262257477205988</v>
      </c>
      <c r="H149" s="114">
        <f t="shared" si="34"/>
        <v>1635.55</v>
      </c>
      <c r="I149" s="115">
        <f t="shared" si="35"/>
        <v>127.82162037267501</v>
      </c>
      <c r="J149" s="96"/>
    </row>
    <row r="150" spans="1:10" x14ac:dyDescent="0.2">
      <c r="A150" s="123" t="s">
        <v>113</v>
      </c>
      <c r="B150" s="110">
        <f t="shared" si="32"/>
        <v>40269</v>
      </c>
      <c r="C150" s="110">
        <v>40359</v>
      </c>
      <c r="D150" s="111">
        <f t="shared" si="33"/>
        <v>91</v>
      </c>
      <c r="E150" s="111">
        <f>E149</f>
        <v>3.25</v>
      </c>
      <c r="F150" s="131">
        <f>F$117+G$131-SUM(H$130:H149)-SUM(I$130:I149)</f>
        <v>1763.3716203726885</v>
      </c>
      <c r="G150" s="114">
        <f t="shared" si="36"/>
        <v>14.288141280143087</v>
      </c>
      <c r="H150" s="114">
        <f t="shared" si="34"/>
        <v>1635.55</v>
      </c>
      <c r="I150" s="115">
        <f t="shared" si="35"/>
        <v>127.82162037267501</v>
      </c>
      <c r="J150" s="96"/>
    </row>
    <row r="151" spans="1:10" x14ac:dyDescent="0.2">
      <c r="A151" s="124" t="s">
        <v>114</v>
      </c>
      <c r="B151" s="125">
        <f t="shared" si="32"/>
        <v>40360</v>
      </c>
      <c r="C151" s="125">
        <v>40451</v>
      </c>
      <c r="D151" s="126">
        <f t="shared" si="33"/>
        <v>92</v>
      </c>
      <c r="E151" s="111">
        <v>3.25</v>
      </c>
      <c r="F151" s="132">
        <f>F$117+G$131-SUM(H$130:H150)-SUM(I$130:I150)</f>
        <v>1.4097167877480388E-11</v>
      </c>
      <c r="G151" s="127">
        <f t="shared" si="36"/>
        <v>1.1548090946209963E-13</v>
      </c>
      <c r="H151" s="127">
        <v>0</v>
      </c>
      <c r="I151" s="128">
        <v>0</v>
      </c>
      <c r="J151" s="96"/>
    </row>
    <row r="152" spans="1:10" x14ac:dyDescent="0.2">
      <c r="A152" s="23"/>
      <c r="B152" s="49"/>
      <c r="C152" s="49"/>
      <c r="D152" s="23"/>
      <c r="E152" s="94"/>
      <c r="F152" s="54"/>
      <c r="G152" s="54"/>
      <c r="H152" s="74"/>
      <c r="I152" s="74"/>
      <c r="J152" s="56"/>
    </row>
    <row r="153" spans="1:10" x14ac:dyDescent="0.2">
      <c r="A153" s="387" t="s">
        <v>53</v>
      </c>
      <c r="B153" s="388"/>
      <c r="C153" s="388"/>
      <c r="D153" s="388"/>
      <c r="E153" s="388"/>
      <c r="F153" s="388"/>
      <c r="G153" s="388"/>
      <c r="H153" s="388"/>
      <c r="I153" s="388"/>
      <c r="J153" s="389"/>
    </row>
    <row r="154" spans="1:10" x14ac:dyDescent="0.2">
      <c r="A154" s="30" t="s">
        <v>10</v>
      </c>
      <c r="B154" s="30" t="s">
        <v>11</v>
      </c>
      <c r="C154" s="30" t="s">
        <v>12</v>
      </c>
      <c r="D154" s="30" t="s">
        <v>13</v>
      </c>
      <c r="E154" s="30" t="s">
        <v>14</v>
      </c>
      <c r="F154" s="30" t="s">
        <v>15</v>
      </c>
      <c r="G154" s="30" t="s">
        <v>16</v>
      </c>
      <c r="H154" s="30"/>
      <c r="I154" s="30"/>
      <c r="J154" s="30" t="s">
        <v>17</v>
      </c>
    </row>
    <row r="155" spans="1:10" ht="51" x14ac:dyDescent="0.2">
      <c r="A155" s="70" t="s">
        <v>18</v>
      </c>
      <c r="B155" s="70" t="s">
        <v>19</v>
      </c>
      <c r="C155" s="70" t="s">
        <v>20</v>
      </c>
      <c r="D155" s="70" t="s">
        <v>21</v>
      </c>
      <c r="E155" s="70" t="s">
        <v>22</v>
      </c>
      <c r="F155" s="70" t="s">
        <v>23</v>
      </c>
      <c r="G155" s="6" t="s">
        <v>130</v>
      </c>
      <c r="H155" s="6" t="s">
        <v>37</v>
      </c>
      <c r="I155" s="6" t="s">
        <v>131</v>
      </c>
      <c r="J155" s="70" t="s">
        <v>25</v>
      </c>
    </row>
    <row r="156" spans="1:10" x14ac:dyDescent="0.2">
      <c r="A156" s="102" t="s">
        <v>47</v>
      </c>
      <c r="B156" s="103">
        <f>B17</f>
        <v>37483</v>
      </c>
      <c r="C156" s="103">
        <v>37529</v>
      </c>
      <c r="D156" s="104">
        <f t="shared" ref="D156:D168" si="37">+C156-B156+1</f>
        <v>47</v>
      </c>
      <c r="E156" s="105">
        <v>4.75</v>
      </c>
      <c r="F156" s="106">
        <f>E17</f>
        <v>211</v>
      </c>
      <c r="G156" s="107">
        <f t="shared" ref="G156:G161" si="38">+D156/365*E156/100*F156</f>
        <v>1.2905684931506847</v>
      </c>
      <c r="H156" s="107"/>
      <c r="I156" s="108"/>
      <c r="J156" s="142">
        <f>F156+G156</f>
        <v>212.29056849315069</v>
      </c>
    </row>
    <row r="157" spans="1:10" x14ac:dyDescent="0.2">
      <c r="A157" s="109" t="s">
        <v>48</v>
      </c>
      <c r="B157" s="110">
        <v>37530</v>
      </c>
      <c r="C157" s="110">
        <v>37621</v>
      </c>
      <c r="D157" s="111">
        <f t="shared" si="37"/>
        <v>92</v>
      </c>
      <c r="E157" s="112">
        <v>4.75</v>
      </c>
      <c r="F157" s="113">
        <f>+J156</f>
        <v>212.29056849315069</v>
      </c>
      <c r="G157" s="114">
        <f t="shared" si="38"/>
        <v>2.541670641959092</v>
      </c>
      <c r="H157" s="114"/>
      <c r="I157" s="115"/>
      <c r="J157" s="129">
        <f>+J156+G157</f>
        <v>214.83223913510977</v>
      </c>
    </row>
    <row r="158" spans="1:10" x14ac:dyDescent="0.2">
      <c r="A158" s="109" t="s">
        <v>26</v>
      </c>
      <c r="B158" s="110">
        <v>37622</v>
      </c>
      <c r="C158" s="110">
        <v>37711</v>
      </c>
      <c r="D158" s="111">
        <f t="shared" si="37"/>
        <v>90</v>
      </c>
      <c r="E158" s="112">
        <v>4.62</v>
      </c>
      <c r="F158" s="113">
        <f t="shared" ref="F158:F168" si="39">+J157</f>
        <v>214.83223913510977</v>
      </c>
      <c r="G158" s="114">
        <f t="shared" si="38"/>
        <v>2.4473217817090038</v>
      </c>
      <c r="H158" s="114"/>
      <c r="I158" s="115"/>
      <c r="J158" s="129">
        <f>+J157+G158</f>
        <v>217.27956091681878</v>
      </c>
    </row>
    <row r="159" spans="1:10" x14ac:dyDescent="0.2">
      <c r="A159" s="109" t="s">
        <v>27</v>
      </c>
      <c r="B159" s="110">
        <v>37712</v>
      </c>
      <c r="C159" s="110">
        <v>37802</v>
      </c>
      <c r="D159" s="111">
        <f t="shared" si="37"/>
        <v>91</v>
      </c>
      <c r="E159" s="112">
        <v>4.25</v>
      </c>
      <c r="F159" s="113">
        <f t="shared" si="39"/>
        <v>217.27956091681878</v>
      </c>
      <c r="G159" s="114">
        <f t="shared" si="38"/>
        <v>2.3022704160158813</v>
      </c>
      <c r="H159" s="114"/>
      <c r="I159" s="115"/>
      <c r="J159" s="129">
        <f>+J158+G159</f>
        <v>219.58183133283467</v>
      </c>
    </row>
    <row r="160" spans="1:10" x14ac:dyDescent="0.2">
      <c r="A160" s="109" t="s">
        <v>28</v>
      </c>
      <c r="B160" s="110">
        <v>37803</v>
      </c>
      <c r="C160" s="110">
        <v>37894</v>
      </c>
      <c r="D160" s="111">
        <f t="shared" si="37"/>
        <v>92</v>
      </c>
      <c r="E160" s="112">
        <v>4.25</v>
      </c>
      <c r="F160" s="113">
        <f t="shared" si="39"/>
        <v>219.58183133283467</v>
      </c>
      <c r="G160" s="114">
        <f t="shared" si="38"/>
        <v>2.3522327685243387</v>
      </c>
      <c r="H160" s="114"/>
      <c r="I160" s="115"/>
      <c r="J160" s="129">
        <f>+J159+G160</f>
        <v>221.93406410135901</v>
      </c>
    </row>
    <row r="161" spans="1:10" x14ac:dyDescent="0.2">
      <c r="A161" s="109" t="s">
        <v>29</v>
      </c>
      <c r="B161" s="110">
        <v>37895</v>
      </c>
      <c r="C161" s="110">
        <v>37986</v>
      </c>
      <c r="D161" s="111">
        <f t="shared" si="37"/>
        <v>92</v>
      </c>
      <c r="E161" s="112">
        <v>4.07</v>
      </c>
      <c r="F161" s="113">
        <f t="shared" si="39"/>
        <v>221.93406410135901</v>
      </c>
      <c r="G161" s="114">
        <f t="shared" si="38"/>
        <v>2.2767394784140516</v>
      </c>
      <c r="H161" s="114"/>
      <c r="I161" s="115"/>
      <c r="J161" s="129">
        <f>+F161+G161</f>
        <v>224.21080357977306</v>
      </c>
    </row>
    <row r="162" spans="1:10" x14ac:dyDescent="0.2">
      <c r="A162" s="109" t="s">
        <v>30</v>
      </c>
      <c r="B162" s="110">
        <v>37987</v>
      </c>
      <c r="C162" s="110">
        <v>38077</v>
      </c>
      <c r="D162" s="111">
        <f t="shared" si="37"/>
        <v>91</v>
      </c>
      <c r="E162" s="112">
        <v>4</v>
      </c>
      <c r="F162" s="113">
        <f t="shared" si="39"/>
        <v>224.21080357977306</v>
      </c>
      <c r="G162" s="114">
        <f>+D162/366*E162/100*F162</f>
        <v>2.2298560793179618</v>
      </c>
      <c r="H162" s="114"/>
      <c r="I162" s="115"/>
      <c r="J162" s="129">
        <f t="shared" ref="J162:J168" si="40">+F162+G162</f>
        <v>226.44065965909101</v>
      </c>
    </row>
    <row r="163" spans="1:10" x14ac:dyDescent="0.2">
      <c r="A163" s="109" t="s">
        <v>44</v>
      </c>
      <c r="B163" s="110">
        <v>38078</v>
      </c>
      <c r="C163" s="110">
        <v>38168</v>
      </c>
      <c r="D163" s="111">
        <f t="shared" si="37"/>
        <v>91</v>
      </c>
      <c r="E163" s="112">
        <v>4</v>
      </c>
      <c r="F163" s="113">
        <f t="shared" si="39"/>
        <v>226.44065965909101</v>
      </c>
      <c r="G163" s="114">
        <f>+D163/366*E163/100*F163</f>
        <v>2.2520327900521622</v>
      </c>
      <c r="H163" s="114"/>
      <c r="I163" s="115"/>
      <c r="J163" s="129">
        <f t="shared" si="40"/>
        <v>228.69269244914318</v>
      </c>
    </row>
    <row r="164" spans="1:10" x14ac:dyDescent="0.2">
      <c r="A164" s="109" t="s">
        <v>41</v>
      </c>
      <c r="B164" s="110">
        <v>38169</v>
      </c>
      <c r="C164" s="110">
        <v>38260</v>
      </c>
      <c r="D164" s="111">
        <f t="shared" si="37"/>
        <v>92</v>
      </c>
      <c r="E164" s="112">
        <v>4</v>
      </c>
      <c r="F164" s="113">
        <f t="shared" si="39"/>
        <v>228.69269244914318</v>
      </c>
      <c r="G164" s="114">
        <f>+D164/366*E164/100*F164</f>
        <v>2.2994237929312757</v>
      </c>
      <c r="H164" s="114"/>
      <c r="I164" s="115"/>
      <c r="J164" s="129">
        <f t="shared" si="40"/>
        <v>230.99211624207445</v>
      </c>
    </row>
    <row r="165" spans="1:10" x14ac:dyDescent="0.2">
      <c r="A165" s="109" t="s">
        <v>45</v>
      </c>
      <c r="B165" s="110">
        <v>38261</v>
      </c>
      <c r="C165" s="110">
        <v>38352</v>
      </c>
      <c r="D165" s="111">
        <f t="shared" si="37"/>
        <v>92</v>
      </c>
      <c r="E165" s="112">
        <v>4.22</v>
      </c>
      <c r="F165" s="113">
        <f t="shared" si="39"/>
        <v>230.99211624207445</v>
      </c>
      <c r="G165" s="114">
        <f>+D165/366*E165/100*F165</f>
        <v>2.450283584967841</v>
      </c>
      <c r="H165" s="114"/>
      <c r="I165" s="115"/>
      <c r="J165" s="129">
        <f t="shared" si="40"/>
        <v>233.44239982704229</v>
      </c>
    </row>
    <row r="166" spans="1:10" x14ac:dyDescent="0.2">
      <c r="A166" s="109" t="s">
        <v>43</v>
      </c>
      <c r="B166" s="110">
        <v>38353</v>
      </c>
      <c r="C166" s="110">
        <v>38442</v>
      </c>
      <c r="D166" s="111">
        <f t="shared" si="37"/>
        <v>90</v>
      </c>
      <c r="E166" s="112">
        <v>4.75</v>
      </c>
      <c r="F166" s="113">
        <f t="shared" si="39"/>
        <v>233.44239982704229</v>
      </c>
      <c r="G166" s="114">
        <f>+D166/365*E166/100*F166</f>
        <v>2.7341541349605638</v>
      </c>
      <c r="H166" s="114"/>
      <c r="I166" s="115"/>
      <c r="J166" s="129">
        <f t="shared" si="40"/>
        <v>236.17655396200286</v>
      </c>
    </row>
    <row r="167" spans="1:10" x14ac:dyDescent="0.2">
      <c r="A167" s="109" t="s">
        <v>40</v>
      </c>
      <c r="B167" s="110">
        <v>38443</v>
      </c>
      <c r="C167" s="110">
        <v>38533</v>
      </c>
      <c r="D167" s="111">
        <f t="shared" si="37"/>
        <v>91</v>
      </c>
      <c r="E167" s="112">
        <v>5.3</v>
      </c>
      <c r="F167" s="113">
        <f t="shared" si="39"/>
        <v>236.17655396200286</v>
      </c>
      <c r="G167" s="114">
        <f>+D167/365*E167/100*F167</f>
        <v>3.120765807558191</v>
      </c>
      <c r="H167" s="114"/>
      <c r="I167" s="115"/>
      <c r="J167" s="129">
        <f t="shared" si="40"/>
        <v>239.29731976956106</v>
      </c>
    </row>
    <row r="168" spans="1:10" x14ac:dyDescent="0.2">
      <c r="A168" s="109" t="s">
        <v>42</v>
      </c>
      <c r="B168" s="110">
        <v>38534</v>
      </c>
      <c r="C168" s="110">
        <v>38625</v>
      </c>
      <c r="D168" s="111">
        <f t="shared" si="37"/>
        <v>92</v>
      </c>
      <c r="E168" s="112">
        <v>5.77</v>
      </c>
      <c r="F168" s="113">
        <f t="shared" si="39"/>
        <v>239.29731976956106</v>
      </c>
      <c r="G168" s="114">
        <f>+D168/365*E168/100*F168</f>
        <v>3.4802353212732546</v>
      </c>
      <c r="H168" s="114">
        <f>E$17/20</f>
        <v>10.55</v>
      </c>
      <c r="I168" s="115">
        <f>G$169/20</f>
        <v>1.588877754541715</v>
      </c>
      <c r="J168" s="129">
        <f t="shared" si="40"/>
        <v>242.77755509083431</v>
      </c>
    </row>
    <row r="169" spans="1:10" x14ac:dyDescent="0.2">
      <c r="A169" s="117"/>
      <c r="B169" s="118"/>
      <c r="C169" s="118"/>
      <c r="D169" s="130"/>
      <c r="E169" s="393" t="s">
        <v>132</v>
      </c>
      <c r="F169" s="394"/>
      <c r="G169" s="120">
        <f>SUM(G156:G168)</f>
        <v>31.777555090834301</v>
      </c>
      <c r="H169" s="120"/>
      <c r="I169" s="121"/>
      <c r="J169" s="135"/>
    </row>
    <row r="170" spans="1:10" x14ac:dyDescent="0.2">
      <c r="A170" s="123" t="s">
        <v>36</v>
      </c>
      <c r="B170" s="110">
        <v>38626</v>
      </c>
      <c r="C170" s="110">
        <v>38717</v>
      </c>
      <c r="D170" s="111">
        <f>+C170-B170+1</f>
        <v>92</v>
      </c>
      <c r="E170" s="122">
        <v>6.23</v>
      </c>
      <c r="F170" s="131">
        <f>F156+G$169-H$168-I168</f>
        <v>230.63867733629257</v>
      </c>
      <c r="G170" s="114">
        <f>+D170/365*E170/100*F170</f>
        <v>3.6217223096457385</v>
      </c>
      <c r="H170" s="114">
        <f>E$17/20</f>
        <v>10.55</v>
      </c>
      <c r="I170" s="116">
        <f>G$169/20</f>
        <v>1.588877754541715</v>
      </c>
      <c r="J170" s="134"/>
    </row>
    <row r="171" spans="1:10" x14ac:dyDescent="0.2">
      <c r="A171" s="109" t="s">
        <v>76</v>
      </c>
      <c r="B171" s="110">
        <f>C170+1</f>
        <v>38718</v>
      </c>
      <c r="C171" s="110">
        <v>38807</v>
      </c>
      <c r="D171" s="111">
        <f t="shared" ref="D171:D178" si="41">+C171-B171+1</f>
        <v>90</v>
      </c>
      <c r="E171" s="112">
        <v>6.78</v>
      </c>
      <c r="F171" s="131">
        <f>F$156+G$169-SUM(H$168:H170)-SUM(I$168:I170)</f>
        <v>218.49979958175089</v>
      </c>
      <c r="G171" s="114">
        <f t="shared" ref="G171:G178" si="42">+D171/365*E171/100*F171</f>
        <v>3.6528377453365581</v>
      </c>
      <c r="H171" s="114">
        <f t="shared" ref="H171:H178" si="43">E$17/20</f>
        <v>10.55</v>
      </c>
      <c r="I171" s="116">
        <f t="shared" ref="I171:I178" si="44">G$169/20</f>
        <v>1.588877754541715</v>
      </c>
      <c r="J171" s="134"/>
    </row>
    <row r="172" spans="1:10" x14ac:dyDescent="0.2">
      <c r="A172" s="109" t="s">
        <v>77</v>
      </c>
      <c r="B172" s="110">
        <f t="shared" ref="B172:B189" si="45">C171+1</f>
        <v>38808</v>
      </c>
      <c r="C172" s="110">
        <v>38898</v>
      </c>
      <c r="D172" s="111">
        <f t="shared" si="41"/>
        <v>91</v>
      </c>
      <c r="E172" s="112">
        <v>7.3</v>
      </c>
      <c r="F172" s="131">
        <f>F$156+G$169-SUM(H$168:H171)-SUM(I$168:I171)</f>
        <v>206.36092182720915</v>
      </c>
      <c r="G172" s="114">
        <f t="shared" si="42"/>
        <v>3.7557687772552066</v>
      </c>
      <c r="H172" s="114">
        <f t="shared" si="43"/>
        <v>10.55</v>
      </c>
      <c r="I172" s="116">
        <f t="shared" si="44"/>
        <v>1.588877754541715</v>
      </c>
      <c r="J172" s="134"/>
    </row>
    <row r="173" spans="1:10" x14ac:dyDescent="0.2">
      <c r="A173" s="109" t="s">
        <v>78</v>
      </c>
      <c r="B173" s="110">
        <f t="shared" si="45"/>
        <v>38899</v>
      </c>
      <c r="C173" s="110">
        <v>38990</v>
      </c>
      <c r="D173" s="111">
        <f t="shared" si="41"/>
        <v>92</v>
      </c>
      <c r="E173" s="111">
        <v>7.74</v>
      </c>
      <c r="F173" s="131">
        <f>F$156+G$169-SUM(H$168:H172)-SUM(I$168:I172)</f>
        <v>194.22204407266747</v>
      </c>
      <c r="G173" s="114">
        <f t="shared" si="42"/>
        <v>3.7890858395415092</v>
      </c>
      <c r="H173" s="114">
        <f t="shared" si="43"/>
        <v>10.55</v>
      </c>
      <c r="I173" s="116">
        <f t="shared" si="44"/>
        <v>1.588877754541715</v>
      </c>
      <c r="J173" s="134"/>
    </row>
    <row r="174" spans="1:10" x14ac:dyDescent="0.2">
      <c r="A174" s="109" t="s">
        <v>79</v>
      </c>
      <c r="B174" s="110">
        <f t="shared" si="45"/>
        <v>38991</v>
      </c>
      <c r="C174" s="110">
        <v>39082</v>
      </c>
      <c r="D174" s="111">
        <f t="shared" si="41"/>
        <v>92</v>
      </c>
      <c r="E174" s="111">
        <v>8.17</v>
      </c>
      <c r="F174" s="131">
        <f>F$156+G$169-SUM(H$168:H173)-SUM(I$168:I173)</f>
        <v>182.08316631812573</v>
      </c>
      <c r="G174" s="114">
        <f t="shared" si="42"/>
        <v>3.7496161953796174</v>
      </c>
      <c r="H174" s="114">
        <f t="shared" si="43"/>
        <v>10.55</v>
      </c>
      <c r="I174" s="116">
        <f t="shared" si="44"/>
        <v>1.588877754541715</v>
      </c>
      <c r="J174" s="134"/>
    </row>
    <row r="175" spans="1:10" x14ac:dyDescent="0.2">
      <c r="A175" s="109" t="s">
        <v>80</v>
      </c>
      <c r="B175" s="110">
        <f t="shared" si="45"/>
        <v>39083</v>
      </c>
      <c r="C175" s="110">
        <v>39172</v>
      </c>
      <c r="D175" s="111">
        <f t="shared" si="41"/>
        <v>90</v>
      </c>
      <c r="E175" s="111">
        <v>8.25</v>
      </c>
      <c r="F175" s="131">
        <f>F$156+G$169-SUM(H$168:H174)-SUM(I$168:I174)</f>
        <v>169.94428856358402</v>
      </c>
      <c r="G175" s="114">
        <f t="shared" si="42"/>
        <v>3.4570858700948257</v>
      </c>
      <c r="H175" s="114">
        <f t="shared" si="43"/>
        <v>10.55</v>
      </c>
      <c r="I175" s="116">
        <f t="shared" si="44"/>
        <v>1.588877754541715</v>
      </c>
      <c r="J175" s="134"/>
    </row>
    <row r="176" spans="1:10" x14ac:dyDescent="0.2">
      <c r="A176" s="109" t="s">
        <v>81</v>
      </c>
      <c r="B176" s="110">
        <f t="shared" si="45"/>
        <v>39173</v>
      </c>
      <c r="C176" s="110">
        <v>39263</v>
      </c>
      <c r="D176" s="111">
        <f t="shared" si="41"/>
        <v>91</v>
      </c>
      <c r="E176" s="111">
        <v>8.25</v>
      </c>
      <c r="F176" s="131">
        <f>F$156+G$169-SUM(H$168:H175)-SUM(I$168:I175)</f>
        <v>157.80541080904231</v>
      </c>
      <c r="G176" s="114">
        <f t="shared" si="42"/>
        <v>3.2458195113668089</v>
      </c>
      <c r="H176" s="114">
        <f t="shared" si="43"/>
        <v>10.55</v>
      </c>
      <c r="I176" s="116">
        <f t="shared" si="44"/>
        <v>1.588877754541715</v>
      </c>
      <c r="J176" s="134"/>
    </row>
    <row r="177" spans="1:10" x14ac:dyDescent="0.2">
      <c r="A177" s="109" t="s">
        <v>82</v>
      </c>
      <c r="B177" s="110">
        <f t="shared" si="45"/>
        <v>39264</v>
      </c>
      <c r="C177" s="110">
        <v>39355</v>
      </c>
      <c r="D177" s="111">
        <f t="shared" si="41"/>
        <v>92</v>
      </c>
      <c r="E177" s="111">
        <v>8.25</v>
      </c>
      <c r="F177" s="131">
        <f>F$156+G$169-SUM(H$168:H176)-SUM(I$168:I176)</f>
        <v>145.6665330545006</v>
      </c>
      <c r="G177" s="114">
        <f t="shared" si="42"/>
        <v>3.0290657147497524</v>
      </c>
      <c r="H177" s="114">
        <f t="shared" si="43"/>
        <v>10.55</v>
      </c>
      <c r="I177" s="116">
        <f t="shared" si="44"/>
        <v>1.588877754541715</v>
      </c>
      <c r="J177" s="134"/>
    </row>
    <row r="178" spans="1:10" x14ac:dyDescent="0.2">
      <c r="A178" s="123" t="s">
        <v>83</v>
      </c>
      <c r="B178" s="110">
        <f t="shared" si="45"/>
        <v>39356</v>
      </c>
      <c r="C178" s="110">
        <v>39447</v>
      </c>
      <c r="D178" s="111">
        <f t="shared" si="41"/>
        <v>92</v>
      </c>
      <c r="E178" s="111">
        <v>8.25</v>
      </c>
      <c r="F178" s="131">
        <f>F$156+G$169-SUM(H$168:H177)-SUM(I$168:I177)</f>
        <v>133.52765529995889</v>
      </c>
      <c r="G178" s="114">
        <f t="shared" si="42"/>
        <v>2.7766435718539397</v>
      </c>
      <c r="H178" s="114">
        <f t="shared" si="43"/>
        <v>10.55</v>
      </c>
      <c r="I178" s="116">
        <f t="shared" si="44"/>
        <v>1.588877754541715</v>
      </c>
      <c r="J178" s="134"/>
    </row>
    <row r="179" spans="1:10" x14ac:dyDescent="0.2">
      <c r="A179" s="123" t="s">
        <v>105</v>
      </c>
      <c r="B179" s="110">
        <f t="shared" si="45"/>
        <v>39448</v>
      </c>
      <c r="C179" s="110">
        <v>39538</v>
      </c>
      <c r="D179" s="111">
        <f t="shared" ref="D179:D189" si="46">+C179-B179+1</f>
        <v>91</v>
      </c>
      <c r="E179" s="111">
        <v>7.76</v>
      </c>
      <c r="F179" s="131">
        <f>F$156+G$169-SUM(H$168:H178)-SUM(I$168:I178)</f>
        <v>121.38877754541717</v>
      </c>
      <c r="G179" s="114">
        <f>+D179/366*E179/100*F179</f>
        <v>2.3420737473079725</v>
      </c>
      <c r="H179" s="114">
        <f t="shared" ref="H179:H188" si="47">E$17/20</f>
        <v>10.55</v>
      </c>
      <c r="I179" s="115">
        <f t="shared" ref="I179:I188" si="48">G$169/20</f>
        <v>1.588877754541715</v>
      </c>
      <c r="J179" s="96"/>
    </row>
    <row r="180" spans="1:10" x14ac:dyDescent="0.2">
      <c r="A180" s="123" t="s">
        <v>106</v>
      </c>
      <c r="B180" s="110">
        <f t="shared" si="45"/>
        <v>39539</v>
      </c>
      <c r="C180" s="110">
        <v>39629</v>
      </c>
      <c r="D180" s="111">
        <f t="shared" si="46"/>
        <v>91</v>
      </c>
      <c r="E180" s="111">
        <v>6.77</v>
      </c>
      <c r="F180" s="131">
        <f>F$156+G$169-SUM(H$168:H179)-SUM(I$168:I179)</f>
        <v>109.24989979087547</v>
      </c>
      <c r="G180" s="114">
        <f>+D180/366*E180/100*F180</f>
        <v>1.838950430714881</v>
      </c>
      <c r="H180" s="114">
        <f t="shared" si="47"/>
        <v>10.55</v>
      </c>
      <c r="I180" s="115">
        <f t="shared" si="48"/>
        <v>1.588877754541715</v>
      </c>
      <c r="J180" s="96"/>
    </row>
    <row r="181" spans="1:10" x14ac:dyDescent="0.2">
      <c r="A181" s="123" t="s">
        <v>107</v>
      </c>
      <c r="B181" s="110">
        <f t="shared" si="45"/>
        <v>39630</v>
      </c>
      <c r="C181" s="110">
        <v>39721</v>
      </c>
      <c r="D181" s="111">
        <f t="shared" si="46"/>
        <v>92</v>
      </c>
      <c r="E181" s="111">
        <v>5.3</v>
      </c>
      <c r="F181" s="131">
        <f>F$156+G$169-SUM(H$168:H180)-SUM(I$168:I180)</f>
        <v>97.11102203633375</v>
      </c>
      <c r="G181" s="114">
        <f>+D181/366*E181/100*F181</f>
        <v>1.2937523045059109</v>
      </c>
      <c r="H181" s="114">
        <f t="shared" si="47"/>
        <v>10.55</v>
      </c>
      <c r="I181" s="115">
        <f t="shared" si="48"/>
        <v>1.588877754541715</v>
      </c>
      <c r="J181" s="96"/>
    </row>
    <row r="182" spans="1:10" x14ac:dyDescent="0.2">
      <c r="A182" s="123" t="s">
        <v>100</v>
      </c>
      <c r="B182" s="110">
        <f t="shared" si="45"/>
        <v>39722</v>
      </c>
      <c r="C182" s="110">
        <v>39813</v>
      </c>
      <c r="D182" s="111">
        <f t="shared" si="46"/>
        <v>92</v>
      </c>
      <c r="E182" s="111">
        <v>5</v>
      </c>
      <c r="F182" s="131">
        <f>F$156+G$169-SUM(H$168:H181)-SUM(I$168:I181)</f>
        <v>84.97214428179204</v>
      </c>
      <c r="G182" s="114">
        <f>+D182/366*E182/100*F182</f>
        <v>1.0679559117383699</v>
      </c>
      <c r="H182" s="114">
        <f t="shared" si="47"/>
        <v>10.55</v>
      </c>
      <c r="I182" s="115">
        <f t="shared" si="48"/>
        <v>1.588877754541715</v>
      </c>
      <c r="J182" s="96"/>
    </row>
    <row r="183" spans="1:10" x14ac:dyDescent="0.2">
      <c r="A183" s="123" t="s">
        <v>108</v>
      </c>
      <c r="B183" s="110">
        <f t="shared" si="45"/>
        <v>39814</v>
      </c>
      <c r="C183" s="110">
        <v>39903</v>
      </c>
      <c r="D183" s="111">
        <f t="shared" si="46"/>
        <v>90</v>
      </c>
      <c r="E183" s="111">
        <v>4.5199999999999996</v>
      </c>
      <c r="F183" s="131">
        <f>F$156+G$169-SUM(H$168:H182)-SUM(I$168:I182)</f>
        <v>72.833266527250316</v>
      </c>
      <c r="G183" s="114">
        <f t="shared" ref="G183:G189" si="49">+D183/365*E183/100*F183</f>
        <v>0.81174172118590215</v>
      </c>
      <c r="H183" s="114">
        <f t="shared" si="47"/>
        <v>10.55</v>
      </c>
      <c r="I183" s="115">
        <f t="shared" si="48"/>
        <v>1.588877754541715</v>
      </c>
      <c r="J183" s="96"/>
    </row>
    <row r="184" spans="1:10" x14ac:dyDescent="0.2">
      <c r="A184" s="123" t="s">
        <v>109</v>
      </c>
      <c r="B184" s="110">
        <f t="shared" si="45"/>
        <v>39904</v>
      </c>
      <c r="C184" s="110">
        <v>39994</v>
      </c>
      <c r="D184" s="111">
        <f t="shared" si="46"/>
        <v>91</v>
      </c>
      <c r="E184" s="111">
        <v>3.37</v>
      </c>
      <c r="F184" s="131">
        <f>F$156+G$169-SUM(H$168:H183)-SUM(I$168:I183)</f>
        <v>60.694388772708585</v>
      </c>
      <c r="G184" s="114">
        <f t="shared" si="49"/>
        <v>0.5099492658883984</v>
      </c>
      <c r="H184" s="114">
        <f t="shared" si="47"/>
        <v>10.55</v>
      </c>
      <c r="I184" s="115">
        <f t="shared" si="48"/>
        <v>1.588877754541715</v>
      </c>
      <c r="J184" s="96"/>
    </row>
    <row r="185" spans="1:10" x14ac:dyDescent="0.2">
      <c r="A185" s="123" t="s">
        <v>111</v>
      </c>
      <c r="B185" s="110">
        <f t="shared" si="45"/>
        <v>39995</v>
      </c>
      <c r="C185" s="110">
        <v>40086</v>
      </c>
      <c r="D185" s="111">
        <f t="shared" si="46"/>
        <v>92</v>
      </c>
      <c r="E185" s="111">
        <v>3.25</v>
      </c>
      <c r="F185" s="131">
        <f>F$156+G$169-SUM(H$168:H184)-SUM(I$168:I184)</f>
        <v>48.555511018166854</v>
      </c>
      <c r="G185" s="114">
        <f t="shared" si="49"/>
        <v>0.39775610395703809</v>
      </c>
      <c r="H185" s="114">
        <f t="shared" si="47"/>
        <v>10.55</v>
      </c>
      <c r="I185" s="115">
        <f t="shared" si="48"/>
        <v>1.588877754541715</v>
      </c>
      <c r="J185" s="96"/>
    </row>
    <row r="186" spans="1:10" x14ac:dyDescent="0.2">
      <c r="A186" s="123" t="s">
        <v>101</v>
      </c>
      <c r="B186" s="110">
        <f t="shared" si="45"/>
        <v>40087</v>
      </c>
      <c r="C186" s="110">
        <v>40178</v>
      </c>
      <c r="D186" s="111">
        <f t="shared" si="46"/>
        <v>92</v>
      </c>
      <c r="E186" s="111">
        <f>E185</f>
        <v>3.25</v>
      </c>
      <c r="F186" s="131">
        <f>F$156+G$169-SUM(H$168:H185)-SUM(I$168:I185)</f>
        <v>36.41663326362513</v>
      </c>
      <c r="G186" s="114">
        <f t="shared" si="49"/>
        <v>0.29831707796777851</v>
      </c>
      <c r="H186" s="114">
        <f t="shared" si="47"/>
        <v>10.55</v>
      </c>
      <c r="I186" s="115">
        <f t="shared" si="48"/>
        <v>1.588877754541715</v>
      </c>
      <c r="J186" s="96"/>
    </row>
    <row r="187" spans="1:10" x14ac:dyDescent="0.2">
      <c r="A187" s="123" t="s">
        <v>112</v>
      </c>
      <c r="B187" s="110">
        <f t="shared" si="45"/>
        <v>40179</v>
      </c>
      <c r="C187" s="110">
        <v>40268</v>
      </c>
      <c r="D187" s="111">
        <f t="shared" si="46"/>
        <v>90</v>
      </c>
      <c r="E187" s="111">
        <f>E186</f>
        <v>3.25</v>
      </c>
      <c r="F187" s="131">
        <f>F$156+G$169-SUM(H$168:H186)-SUM(I$168:I186)</f>
        <v>24.277755509083402</v>
      </c>
      <c r="G187" s="114">
        <f t="shared" si="49"/>
        <v>0.19455461606594232</v>
      </c>
      <c r="H187" s="114">
        <f t="shared" si="47"/>
        <v>10.55</v>
      </c>
      <c r="I187" s="115">
        <f t="shared" si="48"/>
        <v>1.588877754541715</v>
      </c>
      <c r="J187" s="96"/>
    </row>
    <row r="188" spans="1:10" x14ac:dyDescent="0.2">
      <c r="A188" s="123" t="s">
        <v>113</v>
      </c>
      <c r="B188" s="110">
        <f t="shared" si="45"/>
        <v>40269</v>
      </c>
      <c r="C188" s="110">
        <v>40359</v>
      </c>
      <c r="D188" s="111">
        <f t="shared" si="46"/>
        <v>91</v>
      </c>
      <c r="E188" s="111">
        <f>E187</f>
        <v>3.25</v>
      </c>
      <c r="F188" s="131">
        <f>F$156+G$169-SUM(H$168:H187)-SUM(I$168:I187)</f>
        <v>12.138877754541674</v>
      </c>
      <c r="G188" s="114">
        <f t="shared" si="49"/>
        <v>9.8358167011115077E-2</v>
      </c>
      <c r="H188" s="114">
        <f t="shared" si="47"/>
        <v>10.55</v>
      </c>
      <c r="I188" s="115">
        <f t="shared" si="48"/>
        <v>1.588877754541715</v>
      </c>
      <c r="J188" s="96"/>
    </row>
    <row r="189" spans="1:10" x14ac:dyDescent="0.2">
      <c r="A189" s="124" t="s">
        <v>114</v>
      </c>
      <c r="B189" s="125">
        <f t="shared" si="45"/>
        <v>40360</v>
      </c>
      <c r="C189" s="125">
        <v>40451</v>
      </c>
      <c r="D189" s="126">
        <f t="shared" si="46"/>
        <v>92</v>
      </c>
      <c r="E189" s="126">
        <v>3.25</v>
      </c>
      <c r="F189" s="132">
        <f>F$156+G$169-SUM(H$168:H188)-SUM(I$168:I188)</f>
        <v>-5.3290705182007514E-14</v>
      </c>
      <c r="G189" s="127">
        <f t="shared" si="49"/>
        <v>-4.3654577669644516E-16</v>
      </c>
      <c r="H189" s="127">
        <v>0</v>
      </c>
      <c r="I189" s="128">
        <v>0</v>
      </c>
      <c r="J189" s="96"/>
    </row>
    <row r="190" spans="1:10" x14ac:dyDescent="0.2">
      <c r="A190" s="23"/>
      <c r="B190" s="49"/>
      <c r="C190" s="49"/>
      <c r="D190" s="23"/>
      <c r="E190" s="94"/>
      <c r="F190" s="54"/>
      <c r="G190" s="54"/>
      <c r="H190" s="74"/>
      <c r="I190" s="74"/>
      <c r="J190" s="56"/>
    </row>
    <row r="191" spans="1:10" x14ac:dyDescent="0.2">
      <c r="A191" s="387" t="s">
        <v>54</v>
      </c>
      <c r="B191" s="388"/>
      <c r="C191" s="388"/>
      <c r="D191" s="388"/>
      <c r="E191" s="388"/>
      <c r="F191" s="388"/>
      <c r="G191" s="388"/>
      <c r="H191" s="388"/>
      <c r="I191" s="388"/>
      <c r="J191" s="389"/>
    </row>
    <row r="192" spans="1:10" x14ac:dyDescent="0.2">
      <c r="A192" s="30" t="s">
        <v>10</v>
      </c>
      <c r="B192" s="30" t="s">
        <v>11</v>
      </c>
      <c r="C192" s="30" t="s">
        <v>12</v>
      </c>
      <c r="D192" s="30" t="s">
        <v>13</v>
      </c>
      <c r="E192" s="30" t="s">
        <v>14</v>
      </c>
      <c r="F192" s="30" t="s">
        <v>15</v>
      </c>
      <c r="G192" s="30" t="s">
        <v>16</v>
      </c>
      <c r="H192" s="30"/>
      <c r="I192" s="30"/>
      <c r="J192" s="30" t="s">
        <v>17</v>
      </c>
    </row>
    <row r="193" spans="1:10" ht="51" x14ac:dyDescent="0.2">
      <c r="A193" s="70" t="s">
        <v>18</v>
      </c>
      <c r="B193" s="70" t="s">
        <v>19</v>
      </c>
      <c r="C193" s="70" t="s">
        <v>20</v>
      </c>
      <c r="D193" s="70" t="s">
        <v>21</v>
      </c>
      <c r="E193" s="70" t="s">
        <v>22</v>
      </c>
      <c r="F193" s="70" t="s">
        <v>23</v>
      </c>
      <c r="G193" s="6" t="s">
        <v>130</v>
      </c>
      <c r="H193" s="6" t="s">
        <v>37</v>
      </c>
      <c r="I193" s="6" t="s">
        <v>131</v>
      </c>
      <c r="J193" s="70" t="s">
        <v>25</v>
      </c>
    </row>
    <row r="194" spans="1:10" x14ac:dyDescent="0.2">
      <c r="A194" s="102" t="s">
        <v>47</v>
      </c>
      <c r="B194" s="103">
        <f>B18</f>
        <v>37500</v>
      </c>
      <c r="C194" s="103">
        <v>37529</v>
      </c>
      <c r="D194" s="104">
        <f t="shared" ref="D194:D206" si="50">+C194-B194+1</f>
        <v>30</v>
      </c>
      <c r="E194" s="105">
        <v>4.75</v>
      </c>
      <c r="F194" s="106">
        <f>E18</f>
        <v>150581</v>
      </c>
      <c r="G194" s="107">
        <f t="shared" ref="G194:G199" si="51">+D194/365*E194/100*F194</f>
        <v>587.88472602739728</v>
      </c>
      <c r="H194" s="107"/>
      <c r="I194" s="108"/>
      <c r="J194" s="142">
        <f>F194+G194</f>
        <v>151168.88472602741</v>
      </c>
    </row>
    <row r="195" spans="1:10" x14ac:dyDescent="0.2">
      <c r="A195" s="109" t="s">
        <v>48</v>
      </c>
      <c r="B195" s="110">
        <v>37530</v>
      </c>
      <c r="C195" s="110">
        <v>37621</v>
      </c>
      <c r="D195" s="111">
        <f t="shared" si="50"/>
        <v>92</v>
      </c>
      <c r="E195" s="112">
        <v>4.75</v>
      </c>
      <c r="F195" s="113">
        <f>+J194</f>
        <v>151168.88472602741</v>
      </c>
      <c r="G195" s="114">
        <f t="shared" si="51"/>
        <v>1809.8850034321638</v>
      </c>
      <c r="H195" s="114"/>
      <c r="I195" s="115"/>
      <c r="J195" s="129">
        <f>+J194+G195</f>
        <v>152978.76972945957</v>
      </c>
    </row>
    <row r="196" spans="1:10" x14ac:dyDescent="0.2">
      <c r="A196" s="109" t="s">
        <v>26</v>
      </c>
      <c r="B196" s="110">
        <v>37622</v>
      </c>
      <c r="C196" s="110">
        <v>37711</v>
      </c>
      <c r="D196" s="111">
        <f t="shared" si="50"/>
        <v>90</v>
      </c>
      <c r="E196" s="112">
        <v>4.62</v>
      </c>
      <c r="F196" s="113">
        <f t="shared" ref="F196:F206" si="52">+J195</f>
        <v>152978.76972945957</v>
      </c>
      <c r="G196" s="114">
        <f t="shared" si="51"/>
        <v>1742.7006151646378</v>
      </c>
      <c r="H196" s="114"/>
      <c r="I196" s="115"/>
      <c r="J196" s="129">
        <f>+J195+G196</f>
        <v>154721.47034462422</v>
      </c>
    </row>
    <row r="197" spans="1:10" x14ac:dyDescent="0.2">
      <c r="A197" s="109" t="s">
        <v>27</v>
      </c>
      <c r="B197" s="110">
        <v>37712</v>
      </c>
      <c r="C197" s="110">
        <v>37802</v>
      </c>
      <c r="D197" s="111">
        <f t="shared" si="50"/>
        <v>91</v>
      </c>
      <c r="E197" s="112">
        <v>4.25</v>
      </c>
      <c r="F197" s="113">
        <f t="shared" si="52"/>
        <v>154721.47034462422</v>
      </c>
      <c r="G197" s="114">
        <f t="shared" si="51"/>
        <v>1639.4117439940662</v>
      </c>
      <c r="H197" s="114"/>
      <c r="I197" s="115"/>
      <c r="J197" s="129">
        <f>+J196+G197</f>
        <v>156360.88208861829</v>
      </c>
    </row>
    <row r="198" spans="1:10" x14ac:dyDescent="0.2">
      <c r="A198" s="109" t="s">
        <v>28</v>
      </c>
      <c r="B198" s="110">
        <v>37803</v>
      </c>
      <c r="C198" s="110">
        <v>37894</v>
      </c>
      <c r="D198" s="111">
        <f t="shared" si="50"/>
        <v>92</v>
      </c>
      <c r="E198" s="112">
        <v>4.25</v>
      </c>
      <c r="F198" s="113">
        <f t="shared" si="52"/>
        <v>156360.88208861829</v>
      </c>
      <c r="G198" s="114">
        <f t="shared" si="51"/>
        <v>1674.9891752506783</v>
      </c>
      <c r="H198" s="114"/>
      <c r="I198" s="115"/>
      <c r="J198" s="129">
        <f>+J197+G198</f>
        <v>158035.87126386896</v>
      </c>
    </row>
    <row r="199" spans="1:10" x14ac:dyDescent="0.2">
      <c r="A199" s="109" t="s">
        <v>29</v>
      </c>
      <c r="B199" s="110">
        <v>37895</v>
      </c>
      <c r="C199" s="110">
        <v>37986</v>
      </c>
      <c r="D199" s="111">
        <f t="shared" si="50"/>
        <v>92</v>
      </c>
      <c r="E199" s="112">
        <v>4.07</v>
      </c>
      <c r="F199" s="113">
        <f t="shared" si="52"/>
        <v>158035.87126386896</v>
      </c>
      <c r="G199" s="114">
        <f t="shared" si="51"/>
        <v>1621.2315516724136</v>
      </c>
      <c r="H199" s="114"/>
      <c r="I199" s="115"/>
      <c r="J199" s="129">
        <f>+F199+G199</f>
        <v>159657.10281554138</v>
      </c>
    </row>
    <row r="200" spans="1:10" x14ac:dyDescent="0.2">
      <c r="A200" s="109" t="s">
        <v>30</v>
      </c>
      <c r="B200" s="110">
        <v>37987</v>
      </c>
      <c r="C200" s="110">
        <v>38077</v>
      </c>
      <c r="D200" s="111">
        <f t="shared" si="50"/>
        <v>91</v>
      </c>
      <c r="E200" s="112">
        <v>4</v>
      </c>
      <c r="F200" s="113">
        <f t="shared" si="52"/>
        <v>159657.10281554138</v>
      </c>
      <c r="G200" s="114">
        <f>+D200/366*E200/100*F200</f>
        <v>1587.8465963075701</v>
      </c>
      <c r="H200" s="114"/>
      <c r="I200" s="115"/>
      <c r="J200" s="129">
        <f t="shared" ref="J200:J206" si="53">+F200+G200</f>
        <v>161244.94941184894</v>
      </c>
    </row>
    <row r="201" spans="1:10" x14ac:dyDescent="0.2">
      <c r="A201" s="109" t="s">
        <v>44</v>
      </c>
      <c r="B201" s="110">
        <v>38078</v>
      </c>
      <c r="C201" s="110">
        <v>38168</v>
      </c>
      <c r="D201" s="111">
        <f t="shared" si="50"/>
        <v>91</v>
      </c>
      <c r="E201" s="112">
        <v>4</v>
      </c>
      <c r="F201" s="113">
        <f t="shared" si="52"/>
        <v>161244.94941184894</v>
      </c>
      <c r="G201" s="114">
        <f>+D201/366*E201/100*F201</f>
        <v>1603.6382946970768</v>
      </c>
      <c r="H201" s="114"/>
      <c r="I201" s="115"/>
      <c r="J201" s="129">
        <f t="shared" si="53"/>
        <v>162848.58770654601</v>
      </c>
    </row>
    <row r="202" spans="1:10" x14ac:dyDescent="0.2">
      <c r="A202" s="109" t="s">
        <v>41</v>
      </c>
      <c r="B202" s="110">
        <v>38169</v>
      </c>
      <c r="C202" s="110">
        <v>38260</v>
      </c>
      <c r="D202" s="111">
        <f t="shared" si="50"/>
        <v>92</v>
      </c>
      <c r="E202" s="112">
        <v>4</v>
      </c>
      <c r="F202" s="113">
        <f t="shared" si="52"/>
        <v>162848.58770654601</v>
      </c>
      <c r="G202" s="114">
        <f>+D202/366*E202/100*F202</f>
        <v>1637.3847069947794</v>
      </c>
      <c r="H202" s="114"/>
      <c r="I202" s="115"/>
      <c r="J202" s="129">
        <f t="shared" si="53"/>
        <v>164485.97241354079</v>
      </c>
    </row>
    <row r="203" spans="1:10" x14ac:dyDescent="0.2">
      <c r="A203" s="109" t="s">
        <v>45</v>
      </c>
      <c r="B203" s="110">
        <v>38261</v>
      </c>
      <c r="C203" s="110">
        <v>38352</v>
      </c>
      <c r="D203" s="111">
        <f t="shared" si="50"/>
        <v>92</v>
      </c>
      <c r="E203" s="112">
        <v>4.22</v>
      </c>
      <c r="F203" s="113">
        <f t="shared" si="52"/>
        <v>164485.97241354079</v>
      </c>
      <c r="G203" s="114">
        <f>+D203/366*E203/100*F203</f>
        <v>1744.8096702140185</v>
      </c>
      <c r="H203" s="114"/>
      <c r="I203" s="115"/>
      <c r="J203" s="129">
        <f t="shared" si="53"/>
        <v>166230.78208375481</v>
      </c>
    </row>
    <row r="204" spans="1:10" x14ac:dyDescent="0.2">
      <c r="A204" s="109" t="s">
        <v>43</v>
      </c>
      <c r="B204" s="110">
        <v>38353</v>
      </c>
      <c r="C204" s="110">
        <v>38442</v>
      </c>
      <c r="D204" s="111">
        <f t="shared" si="50"/>
        <v>90</v>
      </c>
      <c r="E204" s="112">
        <v>4.75</v>
      </c>
      <c r="F204" s="113">
        <f t="shared" si="52"/>
        <v>166230.78208375481</v>
      </c>
      <c r="G204" s="114">
        <f>+D204/365*E204/100*F204</f>
        <v>1946.9495709809639</v>
      </c>
      <c r="H204" s="114"/>
      <c r="I204" s="115"/>
      <c r="J204" s="129">
        <f t="shared" si="53"/>
        <v>168177.73165473578</v>
      </c>
    </row>
    <row r="205" spans="1:10" x14ac:dyDescent="0.2">
      <c r="A205" s="109" t="s">
        <v>40</v>
      </c>
      <c r="B205" s="110">
        <v>38443</v>
      </c>
      <c r="C205" s="110">
        <v>38533</v>
      </c>
      <c r="D205" s="111">
        <f t="shared" si="50"/>
        <v>91</v>
      </c>
      <c r="E205" s="112">
        <v>5.3</v>
      </c>
      <c r="F205" s="113">
        <f t="shared" si="52"/>
        <v>168177.73165473578</v>
      </c>
      <c r="G205" s="114">
        <f>+D205/365*E205/100*F205</f>
        <v>2222.2498623857277</v>
      </c>
      <c r="H205" s="114"/>
      <c r="I205" s="115"/>
      <c r="J205" s="129">
        <f t="shared" si="53"/>
        <v>170399.98151712152</v>
      </c>
    </row>
    <row r="206" spans="1:10" x14ac:dyDescent="0.2">
      <c r="A206" s="109" t="s">
        <v>42</v>
      </c>
      <c r="B206" s="110">
        <v>38534</v>
      </c>
      <c r="C206" s="110">
        <v>38625</v>
      </c>
      <c r="D206" s="111">
        <f t="shared" si="50"/>
        <v>92</v>
      </c>
      <c r="E206" s="112">
        <v>5.77</v>
      </c>
      <c r="F206" s="113">
        <f t="shared" si="52"/>
        <v>170399.98151712152</v>
      </c>
      <c r="G206" s="114">
        <f>+D206/365*E206/100*F206</f>
        <v>2478.2226353027063</v>
      </c>
      <c r="H206" s="114">
        <f>F$194/20</f>
        <v>7529.05</v>
      </c>
      <c r="I206" s="115">
        <f>G$207/20</f>
        <v>1114.8602076212101</v>
      </c>
      <c r="J206" s="129">
        <f t="shared" si="53"/>
        <v>172878.20415242421</v>
      </c>
    </row>
    <row r="207" spans="1:10" x14ac:dyDescent="0.2">
      <c r="A207" s="117"/>
      <c r="B207" s="118"/>
      <c r="C207" s="118"/>
      <c r="D207" s="130"/>
      <c r="E207" s="393" t="s">
        <v>132</v>
      </c>
      <c r="F207" s="394"/>
      <c r="G207" s="120">
        <f>SUM(G194:G206)</f>
        <v>22297.204152424201</v>
      </c>
      <c r="H207" s="120"/>
      <c r="I207" s="121"/>
      <c r="J207" s="135"/>
    </row>
    <row r="208" spans="1:10" x14ac:dyDescent="0.2">
      <c r="A208" s="123" t="s">
        <v>36</v>
      </c>
      <c r="B208" s="110">
        <v>38626</v>
      </c>
      <c r="C208" s="110">
        <v>38717</v>
      </c>
      <c r="D208" s="111">
        <f>+C208-B208+1</f>
        <v>92</v>
      </c>
      <c r="E208" s="122">
        <v>6.23</v>
      </c>
      <c r="F208" s="131">
        <f>F$194+G$207-SUM(H$206:H207)-SUM(I$206:I207)</f>
        <v>164234.29394480301</v>
      </c>
      <c r="G208" s="114">
        <f>+D208/365*E208/100*F208</f>
        <v>2578.9733676000906</v>
      </c>
      <c r="H208" s="114">
        <f t="shared" ref="H208:H216" si="54">F$194/20</f>
        <v>7529.05</v>
      </c>
      <c r="I208" s="116">
        <f t="shared" ref="I208:I216" si="55">G$207/20</f>
        <v>1114.8602076212101</v>
      </c>
      <c r="J208" s="144"/>
    </row>
    <row r="209" spans="1:10" x14ac:dyDescent="0.2">
      <c r="A209" s="109" t="s">
        <v>76</v>
      </c>
      <c r="B209" s="110">
        <f>C208+1</f>
        <v>38718</v>
      </c>
      <c r="C209" s="110">
        <v>38807</v>
      </c>
      <c r="D209" s="111">
        <f t="shared" ref="D209:D216" si="56">+C209-B209+1</f>
        <v>90</v>
      </c>
      <c r="E209" s="112">
        <v>6.78</v>
      </c>
      <c r="F209" s="131">
        <f>F$194+G$207-SUM(H$206:H208)-SUM(I$206:I208)</f>
        <v>155590.38373718178</v>
      </c>
      <c r="G209" s="114">
        <f t="shared" ref="G209:G216" si="57">+D209/365*E209/100*F209</f>
        <v>2601.1301960665287</v>
      </c>
      <c r="H209" s="114">
        <f t="shared" si="54"/>
        <v>7529.05</v>
      </c>
      <c r="I209" s="116">
        <f t="shared" si="55"/>
        <v>1114.8602076212101</v>
      </c>
      <c r="J209" s="134"/>
    </row>
    <row r="210" spans="1:10" x14ac:dyDescent="0.2">
      <c r="A210" s="109" t="s">
        <v>77</v>
      </c>
      <c r="B210" s="110">
        <f t="shared" ref="B210:B227" si="58">C209+1</f>
        <v>38808</v>
      </c>
      <c r="C210" s="110">
        <v>38898</v>
      </c>
      <c r="D210" s="111">
        <f t="shared" si="56"/>
        <v>91</v>
      </c>
      <c r="E210" s="112">
        <v>7.3</v>
      </c>
      <c r="F210" s="131">
        <f>F$194+G$207-SUM(H$206:H209)-SUM(I$206:I209)</f>
        <v>146946.47352956058</v>
      </c>
      <c r="G210" s="114">
        <f t="shared" si="57"/>
        <v>2674.4258182380026</v>
      </c>
      <c r="H210" s="114">
        <f t="shared" si="54"/>
        <v>7529.05</v>
      </c>
      <c r="I210" s="116">
        <f t="shared" si="55"/>
        <v>1114.8602076212101</v>
      </c>
      <c r="J210" s="134"/>
    </row>
    <row r="211" spans="1:10" x14ac:dyDescent="0.2">
      <c r="A211" s="109" t="s">
        <v>78</v>
      </c>
      <c r="B211" s="110">
        <f t="shared" si="58"/>
        <v>38899</v>
      </c>
      <c r="C211" s="110">
        <v>38990</v>
      </c>
      <c r="D211" s="111">
        <f t="shared" si="56"/>
        <v>92</v>
      </c>
      <c r="E211" s="111">
        <v>7.74</v>
      </c>
      <c r="F211" s="131">
        <f>F$194+G$207-SUM(H$206:H210)-SUM(I$206:I210)</f>
        <v>138302.56332193935</v>
      </c>
      <c r="G211" s="114">
        <f t="shared" si="57"/>
        <v>2698.1503915147014</v>
      </c>
      <c r="H211" s="114">
        <f t="shared" si="54"/>
        <v>7529.05</v>
      </c>
      <c r="I211" s="116">
        <f t="shared" si="55"/>
        <v>1114.8602076212101</v>
      </c>
      <c r="J211" s="134"/>
    </row>
    <row r="212" spans="1:10" x14ac:dyDescent="0.2">
      <c r="A212" s="109" t="s">
        <v>79</v>
      </c>
      <c r="B212" s="110">
        <f t="shared" si="58"/>
        <v>38991</v>
      </c>
      <c r="C212" s="110">
        <v>39082</v>
      </c>
      <c r="D212" s="111">
        <f t="shared" si="56"/>
        <v>92</v>
      </c>
      <c r="E212" s="111">
        <v>8.17</v>
      </c>
      <c r="F212" s="131">
        <f>F$194+G$207-SUM(H$206:H211)-SUM(I$206:I211)</f>
        <v>129658.65311431816</v>
      </c>
      <c r="G212" s="114">
        <f t="shared" si="57"/>
        <v>2670.0446582697564</v>
      </c>
      <c r="H212" s="114">
        <f t="shared" si="54"/>
        <v>7529.05</v>
      </c>
      <c r="I212" s="116">
        <f t="shared" si="55"/>
        <v>1114.8602076212101</v>
      </c>
      <c r="J212" s="134"/>
    </row>
    <row r="213" spans="1:10" x14ac:dyDescent="0.2">
      <c r="A213" s="109" t="s">
        <v>80</v>
      </c>
      <c r="B213" s="110">
        <f t="shared" si="58"/>
        <v>39083</v>
      </c>
      <c r="C213" s="110">
        <v>39172</v>
      </c>
      <c r="D213" s="111">
        <f t="shared" si="56"/>
        <v>90</v>
      </c>
      <c r="E213" s="111">
        <v>8.25</v>
      </c>
      <c r="F213" s="131">
        <f>F$194+G$207-SUM(H$206:H212)-SUM(I$206:I212)</f>
        <v>121014.74290669695</v>
      </c>
      <c r="G213" s="114">
        <f t="shared" si="57"/>
        <v>2461.7382632389722</v>
      </c>
      <c r="H213" s="114">
        <f t="shared" si="54"/>
        <v>7529.05</v>
      </c>
      <c r="I213" s="116">
        <f t="shared" si="55"/>
        <v>1114.8602076212101</v>
      </c>
      <c r="J213" s="134"/>
    </row>
    <row r="214" spans="1:10" x14ac:dyDescent="0.2">
      <c r="A214" s="109" t="s">
        <v>81</v>
      </c>
      <c r="B214" s="110">
        <f t="shared" si="58"/>
        <v>39173</v>
      </c>
      <c r="C214" s="110">
        <v>39263</v>
      </c>
      <c r="D214" s="111">
        <f t="shared" si="56"/>
        <v>91</v>
      </c>
      <c r="E214" s="111">
        <v>8.25</v>
      </c>
      <c r="F214" s="131">
        <f>F$194+G$207-SUM(H$206:H213)-SUM(I$206:I213)</f>
        <v>112370.83269907573</v>
      </c>
      <c r="G214" s="114">
        <f t="shared" si="57"/>
        <v>2311.298702707702</v>
      </c>
      <c r="H214" s="114">
        <f t="shared" si="54"/>
        <v>7529.05</v>
      </c>
      <c r="I214" s="116">
        <f t="shared" si="55"/>
        <v>1114.8602076212101</v>
      </c>
      <c r="J214" s="134"/>
    </row>
    <row r="215" spans="1:10" x14ac:dyDescent="0.2">
      <c r="A215" s="109" t="s">
        <v>82</v>
      </c>
      <c r="B215" s="110">
        <f t="shared" si="58"/>
        <v>39264</v>
      </c>
      <c r="C215" s="110">
        <v>39355</v>
      </c>
      <c r="D215" s="111">
        <f t="shared" si="56"/>
        <v>92</v>
      </c>
      <c r="E215" s="111">
        <v>8.25</v>
      </c>
      <c r="F215" s="131">
        <f>F$194+G$207-SUM(H$206:H214)-SUM(I$206:I214)</f>
        <v>103726.92249145452</v>
      </c>
      <c r="G215" s="114">
        <f t="shared" si="57"/>
        <v>2156.951621123671</v>
      </c>
      <c r="H215" s="114">
        <f t="shared" si="54"/>
        <v>7529.05</v>
      </c>
      <c r="I215" s="116">
        <f t="shared" si="55"/>
        <v>1114.8602076212101</v>
      </c>
      <c r="J215" s="134"/>
    </row>
    <row r="216" spans="1:10" x14ac:dyDescent="0.2">
      <c r="A216" s="123" t="s">
        <v>83</v>
      </c>
      <c r="B216" s="110">
        <f t="shared" si="58"/>
        <v>39356</v>
      </c>
      <c r="C216" s="110">
        <v>39447</v>
      </c>
      <c r="D216" s="111">
        <f t="shared" si="56"/>
        <v>92</v>
      </c>
      <c r="E216" s="111">
        <v>8.25</v>
      </c>
      <c r="F216" s="131">
        <f>F$194+G$207-SUM(H$206:H215)-SUM(I$206:I215)</f>
        <v>95083.012283833305</v>
      </c>
      <c r="G216" s="114">
        <f t="shared" si="57"/>
        <v>1977.2056526966983</v>
      </c>
      <c r="H216" s="114">
        <f t="shared" si="54"/>
        <v>7529.05</v>
      </c>
      <c r="I216" s="116">
        <f t="shared" si="55"/>
        <v>1114.8602076212101</v>
      </c>
      <c r="J216" s="134"/>
    </row>
    <row r="217" spans="1:10" x14ac:dyDescent="0.2">
      <c r="A217" s="123" t="s">
        <v>105</v>
      </c>
      <c r="B217" s="110">
        <f t="shared" si="58"/>
        <v>39448</v>
      </c>
      <c r="C217" s="110">
        <v>39538</v>
      </c>
      <c r="D217" s="111">
        <f t="shared" ref="D217:D227" si="59">+C217-B217+1</f>
        <v>91</v>
      </c>
      <c r="E217" s="111">
        <v>7.76</v>
      </c>
      <c r="F217" s="131">
        <f>F$194+G$207-SUM(H$206:H216)-SUM(I$206:I216)</f>
        <v>86439.10207621209</v>
      </c>
      <c r="G217" s="114">
        <f>+D217/366*E217/100*F217</f>
        <v>1667.755090768796</v>
      </c>
      <c r="H217" s="114">
        <f t="shared" ref="H217:H226" si="60">F$194/20</f>
        <v>7529.05</v>
      </c>
      <c r="I217" s="115">
        <f t="shared" ref="I217:I226" si="61">G$207/20</f>
        <v>1114.8602076212101</v>
      </c>
      <c r="J217" s="96"/>
    </row>
    <row r="218" spans="1:10" x14ac:dyDescent="0.2">
      <c r="A218" s="123" t="s">
        <v>106</v>
      </c>
      <c r="B218" s="110">
        <f t="shared" si="58"/>
        <v>39539</v>
      </c>
      <c r="C218" s="110">
        <v>39629</v>
      </c>
      <c r="D218" s="111">
        <f t="shared" si="59"/>
        <v>91</v>
      </c>
      <c r="E218" s="111">
        <v>6.77</v>
      </c>
      <c r="F218" s="131">
        <f>F$194+G$207-SUM(H$206:H217)-SUM(I$206:I217)</f>
        <v>77795.191868590875</v>
      </c>
      <c r="G218" s="114">
        <f>+D218/366*E218/100*F218</f>
        <v>1309.488629903901</v>
      </c>
      <c r="H218" s="114">
        <f t="shared" si="60"/>
        <v>7529.05</v>
      </c>
      <c r="I218" s="115">
        <f t="shared" si="61"/>
        <v>1114.8602076212101</v>
      </c>
      <c r="J218" s="96"/>
    </row>
    <row r="219" spans="1:10" x14ac:dyDescent="0.2">
      <c r="A219" s="123" t="s">
        <v>107</v>
      </c>
      <c r="B219" s="110">
        <f t="shared" si="58"/>
        <v>39630</v>
      </c>
      <c r="C219" s="110">
        <v>39721</v>
      </c>
      <c r="D219" s="111">
        <f t="shared" si="59"/>
        <v>92</v>
      </c>
      <c r="E219" s="111">
        <v>5.3</v>
      </c>
      <c r="F219" s="131">
        <f>F$194+G$207-SUM(H$206:H218)-SUM(I$206:I218)</f>
        <v>69151.28166096966</v>
      </c>
      <c r="G219" s="114">
        <f>+D219/366*E219/100*F219</f>
        <v>921.26133710078705</v>
      </c>
      <c r="H219" s="114">
        <f t="shared" si="60"/>
        <v>7529.05</v>
      </c>
      <c r="I219" s="115">
        <f t="shared" si="61"/>
        <v>1114.8602076212101</v>
      </c>
      <c r="J219" s="96"/>
    </row>
    <row r="220" spans="1:10" x14ac:dyDescent="0.2">
      <c r="A220" s="123" t="s">
        <v>100</v>
      </c>
      <c r="B220" s="110">
        <f t="shared" si="58"/>
        <v>39722</v>
      </c>
      <c r="C220" s="110">
        <v>39813</v>
      </c>
      <c r="D220" s="111">
        <f t="shared" si="59"/>
        <v>92</v>
      </c>
      <c r="E220" s="111">
        <v>5</v>
      </c>
      <c r="F220" s="131">
        <f>F$194+G$207-SUM(H$206:H219)-SUM(I$206:I219)</f>
        <v>60507.371453348453</v>
      </c>
      <c r="G220" s="114">
        <f>+D220/366*E220/100*F220</f>
        <v>760.47516034263083</v>
      </c>
      <c r="H220" s="114">
        <f t="shared" si="60"/>
        <v>7529.05</v>
      </c>
      <c r="I220" s="115">
        <f t="shared" si="61"/>
        <v>1114.8602076212101</v>
      </c>
      <c r="J220" s="96"/>
    </row>
    <row r="221" spans="1:10" x14ac:dyDescent="0.2">
      <c r="A221" s="123" t="s">
        <v>108</v>
      </c>
      <c r="B221" s="110">
        <f t="shared" si="58"/>
        <v>39814</v>
      </c>
      <c r="C221" s="110">
        <v>39903</v>
      </c>
      <c r="D221" s="111">
        <f t="shared" si="59"/>
        <v>90</v>
      </c>
      <c r="E221" s="111">
        <v>4.5199999999999996</v>
      </c>
      <c r="F221" s="131">
        <f>F$194+G$207-SUM(H$206:H220)-SUM(I$206:I220)</f>
        <v>51863.461245727245</v>
      </c>
      <c r="G221" s="114">
        <f t="shared" ref="G221:G227" si="62">+D221/365*E221/100*F221</f>
        <v>578.0289324592286</v>
      </c>
      <c r="H221" s="114">
        <f t="shared" si="60"/>
        <v>7529.05</v>
      </c>
      <c r="I221" s="115">
        <f t="shared" si="61"/>
        <v>1114.8602076212101</v>
      </c>
      <c r="J221" s="96"/>
    </row>
    <row r="222" spans="1:10" x14ac:dyDescent="0.2">
      <c r="A222" s="123" t="s">
        <v>109</v>
      </c>
      <c r="B222" s="110">
        <f t="shared" si="58"/>
        <v>39904</v>
      </c>
      <c r="C222" s="110">
        <v>39994</v>
      </c>
      <c r="D222" s="111">
        <f t="shared" si="59"/>
        <v>91</v>
      </c>
      <c r="E222" s="111">
        <v>3.37</v>
      </c>
      <c r="F222" s="131">
        <f>F$194+G$207-SUM(H$206:H221)-SUM(I$206:I221)</f>
        <v>43219.55103810603</v>
      </c>
      <c r="G222" s="114">
        <f t="shared" si="62"/>
        <v>363.12711553030067</v>
      </c>
      <c r="H222" s="114">
        <f t="shared" si="60"/>
        <v>7529.05</v>
      </c>
      <c r="I222" s="115">
        <f t="shared" si="61"/>
        <v>1114.8602076212101</v>
      </c>
      <c r="J222" s="96"/>
    </row>
    <row r="223" spans="1:10" x14ac:dyDescent="0.2">
      <c r="A223" s="123" t="s">
        <v>111</v>
      </c>
      <c r="B223" s="110">
        <f t="shared" si="58"/>
        <v>39995</v>
      </c>
      <c r="C223" s="110">
        <v>40086</v>
      </c>
      <c r="D223" s="111">
        <f t="shared" si="59"/>
        <v>92</v>
      </c>
      <c r="E223" s="111">
        <v>3.25</v>
      </c>
      <c r="F223" s="131">
        <f>F$194+G$207-SUM(H$206:H222)-SUM(I$206:I222)</f>
        <v>34575.640830484816</v>
      </c>
      <c r="G223" s="114">
        <f t="shared" si="62"/>
        <v>283.23607146068389</v>
      </c>
      <c r="H223" s="114">
        <f t="shared" si="60"/>
        <v>7529.05</v>
      </c>
      <c r="I223" s="115">
        <f t="shared" si="61"/>
        <v>1114.8602076212101</v>
      </c>
      <c r="J223" s="96"/>
    </row>
    <row r="224" spans="1:10" x14ac:dyDescent="0.2">
      <c r="A224" s="123" t="s">
        <v>101</v>
      </c>
      <c r="B224" s="110">
        <f t="shared" si="58"/>
        <v>40087</v>
      </c>
      <c r="C224" s="110">
        <v>40178</v>
      </c>
      <c r="D224" s="111">
        <f t="shared" si="59"/>
        <v>92</v>
      </c>
      <c r="E224" s="111">
        <f>E223</f>
        <v>3.25</v>
      </c>
      <c r="F224" s="131">
        <f>F$194+G$207-SUM(H$206:H223)-SUM(I$206:I223)</f>
        <v>25931.730622863601</v>
      </c>
      <c r="G224" s="114">
        <f t="shared" si="62"/>
        <v>212.4270535955128</v>
      </c>
      <c r="H224" s="114">
        <f t="shared" si="60"/>
        <v>7529.05</v>
      </c>
      <c r="I224" s="115">
        <f t="shared" si="61"/>
        <v>1114.8602076212101</v>
      </c>
      <c r="J224" s="96"/>
    </row>
    <row r="225" spans="1:10" x14ac:dyDescent="0.2">
      <c r="A225" s="123" t="s">
        <v>112</v>
      </c>
      <c r="B225" s="110">
        <f t="shared" si="58"/>
        <v>40179</v>
      </c>
      <c r="C225" s="110">
        <v>40268</v>
      </c>
      <c r="D225" s="111">
        <f t="shared" si="59"/>
        <v>90</v>
      </c>
      <c r="E225" s="111">
        <f>E224</f>
        <v>3.25</v>
      </c>
      <c r="F225" s="131">
        <f>F$194+G$207-SUM(H$206:H224)-SUM(I$206:I224)</f>
        <v>17287.8204152424</v>
      </c>
      <c r="G225" s="114">
        <f t="shared" si="62"/>
        <v>138.53938277968223</v>
      </c>
      <c r="H225" s="114">
        <f t="shared" si="60"/>
        <v>7529.05</v>
      </c>
      <c r="I225" s="115">
        <f t="shared" si="61"/>
        <v>1114.8602076212101</v>
      </c>
      <c r="J225" s="96"/>
    </row>
    <row r="226" spans="1:10" x14ac:dyDescent="0.2">
      <c r="A226" s="123" t="s">
        <v>113</v>
      </c>
      <c r="B226" s="110">
        <f t="shared" si="58"/>
        <v>40269</v>
      </c>
      <c r="C226" s="110">
        <v>40359</v>
      </c>
      <c r="D226" s="111">
        <f t="shared" si="59"/>
        <v>91</v>
      </c>
      <c r="E226" s="111">
        <f>E225</f>
        <v>3.25</v>
      </c>
      <c r="F226" s="131">
        <f>F$194+G$207-SUM(H$206:H225)-SUM(I$206:I225)</f>
        <v>8643.9102076212002</v>
      </c>
      <c r="G226" s="114">
        <f t="shared" si="62"/>
        <v>70.039354627506029</v>
      </c>
      <c r="H226" s="114">
        <f t="shared" si="60"/>
        <v>7529.05</v>
      </c>
      <c r="I226" s="115">
        <f t="shared" si="61"/>
        <v>1114.8602076212101</v>
      </c>
      <c r="J226" s="96"/>
    </row>
    <row r="227" spans="1:10" x14ac:dyDescent="0.2">
      <c r="A227" s="124" t="s">
        <v>114</v>
      </c>
      <c r="B227" s="125">
        <f t="shared" si="58"/>
        <v>40360</v>
      </c>
      <c r="C227" s="125">
        <v>40451</v>
      </c>
      <c r="D227" s="126">
        <f t="shared" si="59"/>
        <v>92</v>
      </c>
      <c r="E227" s="111">
        <v>3.25</v>
      </c>
      <c r="F227" s="133">
        <f>F$194+G$207-SUM(H$206:H226)-SUM(I$206:I226)</f>
        <v>0</v>
      </c>
      <c r="G227" s="127">
        <f t="shared" si="62"/>
        <v>0</v>
      </c>
      <c r="H227" s="127">
        <v>0</v>
      </c>
      <c r="I227" s="128">
        <v>0</v>
      </c>
      <c r="J227" s="96"/>
    </row>
    <row r="229" spans="1:10" x14ac:dyDescent="0.2">
      <c r="A229" s="387" t="s">
        <v>55</v>
      </c>
      <c r="B229" s="388"/>
      <c r="C229" s="388"/>
      <c r="D229" s="388"/>
      <c r="E229" s="388"/>
      <c r="F229" s="388"/>
      <c r="G229" s="388"/>
      <c r="H229" s="388"/>
      <c r="I229" s="388"/>
      <c r="J229" s="389"/>
    </row>
    <row r="230" spans="1:10" x14ac:dyDescent="0.2">
      <c r="A230" s="30" t="s">
        <v>10</v>
      </c>
      <c r="B230" s="30" t="s">
        <v>11</v>
      </c>
      <c r="C230" s="30" t="s">
        <v>12</v>
      </c>
      <c r="D230" s="30" t="s">
        <v>13</v>
      </c>
      <c r="E230" s="30" t="s">
        <v>14</v>
      </c>
      <c r="F230" s="30" t="s">
        <v>15</v>
      </c>
      <c r="G230" s="30" t="s">
        <v>16</v>
      </c>
      <c r="H230" s="30"/>
      <c r="I230" s="30"/>
      <c r="J230" s="30" t="s">
        <v>17</v>
      </c>
    </row>
    <row r="231" spans="1:10" ht="51" x14ac:dyDescent="0.2">
      <c r="A231" s="70" t="s">
        <v>18</v>
      </c>
      <c r="B231" s="70" t="s">
        <v>19</v>
      </c>
      <c r="C231" s="70" t="s">
        <v>20</v>
      </c>
      <c r="D231" s="70" t="s">
        <v>21</v>
      </c>
      <c r="E231" s="70" t="s">
        <v>22</v>
      </c>
      <c r="F231" s="70" t="s">
        <v>23</v>
      </c>
      <c r="G231" s="6" t="s">
        <v>130</v>
      </c>
      <c r="H231" s="6" t="s">
        <v>37</v>
      </c>
      <c r="I231" s="6" t="s">
        <v>131</v>
      </c>
      <c r="J231" s="70" t="s">
        <v>25</v>
      </c>
    </row>
    <row r="232" spans="1:10" x14ac:dyDescent="0.2">
      <c r="A232" s="102" t="s">
        <v>48</v>
      </c>
      <c r="B232" s="103">
        <f>B19</f>
        <v>37530</v>
      </c>
      <c r="C232" s="103">
        <v>37621</v>
      </c>
      <c r="D232" s="104">
        <f t="shared" ref="D232:D243" si="63">+C232-B232+1</f>
        <v>92</v>
      </c>
      <c r="E232" s="105">
        <v>4.75</v>
      </c>
      <c r="F232" s="106">
        <f>E19</f>
        <v>5581</v>
      </c>
      <c r="G232" s="107">
        <f>+D232/365*E232/100*F232</f>
        <v>66.819095890410964</v>
      </c>
      <c r="H232" s="107"/>
      <c r="I232" s="108"/>
      <c r="J232" s="142">
        <f>F232+G232</f>
        <v>5647.8190958904106</v>
      </c>
    </row>
    <row r="233" spans="1:10" x14ac:dyDescent="0.2">
      <c r="A233" s="109" t="s">
        <v>26</v>
      </c>
      <c r="B233" s="110">
        <v>37622</v>
      </c>
      <c r="C233" s="110">
        <v>37711</v>
      </c>
      <c r="D233" s="111">
        <f t="shared" si="63"/>
        <v>90</v>
      </c>
      <c r="E233" s="112">
        <v>4.62</v>
      </c>
      <c r="F233" s="113">
        <f t="shared" ref="F233:F243" si="64">+J232</f>
        <v>5647.8190958904106</v>
      </c>
      <c r="G233" s="114">
        <f>+D233/365*E233/100*F233</f>
        <v>64.338717262225543</v>
      </c>
      <c r="H233" s="114"/>
      <c r="I233" s="115"/>
      <c r="J233" s="129">
        <f>+J232+G233</f>
        <v>5712.1578131526358</v>
      </c>
    </row>
    <row r="234" spans="1:10" x14ac:dyDescent="0.2">
      <c r="A234" s="109" t="s">
        <v>27</v>
      </c>
      <c r="B234" s="110">
        <v>37712</v>
      </c>
      <c r="C234" s="110">
        <v>37802</v>
      </c>
      <c r="D234" s="111">
        <f t="shared" si="63"/>
        <v>91</v>
      </c>
      <c r="E234" s="112">
        <v>4.25</v>
      </c>
      <c r="F234" s="113">
        <f t="shared" si="64"/>
        <v>5712.1578131526358</v>
      </c>
      <c r="G234" s="114">
        <f>+D234/365*E234/100*F234</f>
        <v>60.525398198268</v>
      </c>
      <c r="H234" s="114"/>
      <c r="I234" s="115"/>
      <c r="J234" s="129">
        <f>+J233+G234</f>
        <v>5772.6832113509035</v>
      </c>
    </row>
    <row r="235" spans="1:10" x14ac:dyDescent="0.2">
      <c r="A235" s="109" t="s">
        <v>28</v>
      </c>
      <c r="B235" s="110">
        <v>37803</v>
      </c>
      <c r="C235" s="110">
        <v>37894</v>
      </c>
      <c r="D235" s="111">
        <f t="shared" si="63"/>
        <v>92</v>
      </c>
      <c r="E235" s="112">
        <v>4.25</v>
      </c>
      <c r="F235" s="113">
        <f t="shared" si="64"/>
        <v>5772.6832113509035</v>
      </c>
      <c r="G235" s="114">
        <f>+D235/365*E235/100*F235</f>
        <v>61.838880428443929</v>
      </c>
      <c r="H235" s="114"/>
      <c r="I235" s="115"/>
      <c r="J235" s="129">
        <f>+J234+G235</f>
        <v>5834.5220917793476</v>
      </c>
    </row>
    <row r="236" spans="1:10" x14ac:dyDescent="0.2">
      <c r="A236" s="109" t="s">
        <v>29</v>
      </c>
      <c r="B236" s="110">
        <v>37895</v>
      </c>
      <c r="C236" s="110">
        <v>37986</v>
      </c>
      <c r="D236" s="111">
        <f t="shared" si="63"/>
        <v>92</v>
      </c>
      <c r="E236" s="112">
        <v>4.07</v>
      </c>
      <c r="F236" s="113">
        <f t="shared" si="64"/>
        <v>5834.5220917793476</v>
      </c>
      <c r="G236" s="114">
        <f>+D236/365*E236/100*F236</f>
        <v>59.854204165639977</v>
      </c>
      <c r="H236" s="114"/>
      <c r="I236" s="115"/>
      <c r="J236" s="129">
        <f>+F236+G236</f>
        <v>5894.3762959449878</v>
      </c>
    </row>
    <row r="237" spans="1:10" x14ac:dyDescent="0.2">
      <c r="A237" s="109" t="s">
        <v>30</v>
      </c>
      <c r="B237" s="110">
        <v>37987</v>
      </c>
      <c r="C237" s="110">
        <v>38077</v>
      </c>
      <c r="D237" s="111">
        <f t="shared" si="63"/>
        <v>91</v>
      </c>
      <c r="E237" s="112">
        <v>4</v>
      </c>
      <c r="F237" s="113">
        <f t="shared" si="64"/>
        <v>5894.3762959449878</v>
      </c>
      <c r="G237" s="114">
        <f>+D237/366*E237/100*F237</f>
        <v>58.621665894097696</v>
      </c>
      <c r="H237" s="114"/>
      <c r="I237" s="115"/>
      <c r="J237" s="129">
        <f t="shared" ref="J237:J243" si="65">+F237+G237</f>
        <v>5952.9979618390853</v>
      </c>
    </row>
    <row r="238" spans="1:10" x14ac:dyDescent="0.2">
      <c r="A238" s="109" t="s">
        <v>44</v>
      </c>
      <c r="B238" s="110">
        <v>38078</v>
      </c>
      <c r="C238" s="110">
        <v>38168</v>
      </c>
      <c r="D238" s="111">
        <f t="shared" si="63"/>
        <v>91</v>
      </c>
      <c r="E238" s="112">
        <v>4</v>
      </c>
      <c r="F238" s="113">
        <f t="shared" si="64"/>
        <v>5952.9979618390853</v>
      </c>
      <c r="G238" s="114">
        <f>+D238/366*E238/100*F238</f>
        <v>59.20467918331768</v>
      </c>
      <c r="H238" s="114"/>
      <c r="I238" s="115"/>
      <c r="J238" s="129">
        <f t="shared" si="65"/>
        <v>6012.2026410224025</v>
      </c>
    </row>
    <row r="239" spans="1:10" x14ac:dyDescent="0.2">
      <c r="A239" s="109" t="s">
        <v>41</v>
      </c>
      <c r="B239" s="110">
        <v>38169</v>
      </c>
      <c r="C239" s="110">
        <v>38260</v>
      </c>
      <c r="D239" s="111">
        <f t="shared" si="63"/>
        <v>92</v>
      </c>
      <c r="E239" s="112">
        <v>4</v>
      </c>
      <c r="F239" s="113">
        <f t="shared" si="64"/>
        <v>6012.2026410224025</v>
      </c>
      <c r="G239" s="114">
        <f>+D239/366*E239/100*F239</f>
        <v>60.450562073667875</v>
      </c>
      <c r="H239" s="114"/>
      <c r="I239" s="115"/>
      <c r="J239" s="129">
        <f t="shared" si="65"/>
        <v>6072.6532030960707</v>
      </c>
    </row>
    <row r="240" spans="1:10" x14ac:dyDescent="0.2">
      <c r="A240" s="109" t="s">
        <v>45</v>
      </c>
      <c r="B240" s="110">
        <v>38261</v>
      </c>
      <c r="C240" s="110">
        <v>38352</v>
      </c>
      <c r="D240" s="111">
        <f t="shared" si="63"/>
        <v>92</v>
      </c>
      <c r="E240" s="112">
        <v>4.22</v>
      </c>
      <c r="F240" s="113">
        <f t="shared" si="64"/>
        <v>6072.6532030960707</v>
      </c>
      <c r="G240" s="114">
        <f>+D240/366*E240/100*F240</f>
        <v>64.416581409016899</v>
      </c>
      <c r="H240" s="114"/>
      <c r="I240" s="115"/>
      <c r="J240" s="129">
        <f t="shared" si="65"/>
        <v>6137.0697845050872</v>
      </c>
    </row>
    <row r="241" spans="1:10" x14ac:dyDescent="0.2">
      <c r="A241" s="109" t="s">
        <v>43</v>
      </c>
      <c r="B241" s="110">
        <v>38353</v>
      </c>
      <c r="C241" s="110">
        <v>38442</v>
      </c>
      <c r="D241" s="111">
        <f t="shared" si="63"/>
        <v>90</v>
      </c>
      <c r="E241" s="112">
        <v>4.75</v>
      </c>
      <c r="F241" s="113">
        <f t="shared" si="64"/>
        <v>6137.0697845050872</v>
      </c>
      <c r="G241" s="114">
        <f>+D241/365*E241/100*F241</f>
        <v>71.879378982902054</v>
      </c>
      <c r="H241" s="114"/>
      <c r="I241" s="115"/>
      <c r="J241" s="129">
        <f t="shared" si="65"/>
        <v>6208.9491634879896</v>
      </c>
    </row>
    <row r="242" spans="1:10" x14ac:dyDescent="0.2">
      <c r="A242" s="109" t="s">
        <v>40</v>
      </c>
      <c r="B242" s="110">
        <v>38443</v>
      </c>
      <c r="C242" s="110">
        <v>38533</v>
      </c>
      <c r="D242" s="111">
        <f t="shared" si="63"/>
        <v>91</v>
      </c>
      <c r="E242" s="112">
        <v>5.3</v>
      </c>
      <c r="F242" s="113">
        <f t="shared" si="64"/>
        <v>6208.9491634879896</v>
      </c>
      <c r="G242" s="114">
        <f>+D242/365*E242/100*F242</f>
        <v>82.043183056171429</v>
      </c>
      <c r="H242" s="114"/>
      <c r="I242" s="115"/>
      <c r="J242" s="129">
        <f t="shared" si="65"/>
        <v>6290.9923465441607</v>
      </c>
    </row>
    <row r="243" spans="1:10" x14ac:dyDescent="0.2">
      <c r="A243" s="109" t="s">
        <v>42</v>
      </c>
      <c r="B243" s="110">
        <v>38534</v>
      </c>
      <c r="C243" s="110">
        <v>38625</v>
      </c>
      <c r="D243" s="111">
        <f t="shared" si="63"/>
        <v>92</v>
      </c>
      <c r="E243" s="112">
        <v>5.77</v>
      </c>
      <c r="F243" s="113">
        <f t="shared" si="64"/>
        <v>6290.9923465441607</v>
      </c>
      <c r="G243" s="114">
        <f>+D243/365*E243/100*F243</f>
        <v>91.493434992863072</v>
      </c>
      <c r="H243" s="114">
        <f>F$232/20</f>
        <v>279.05</v>
      </c>
      <c r="I243" s="115">
        <f>G$244/20</f>
        <v>40.074289076851258</v>
      </c>
      <c r="J243" s="129">
        <f t="shared" si="65"/>
        <v>6382.4857815370242</v>
      </c>
    </row>
    <row r="244" spans="1:10" x14ac:dyDescent="0.2">
      <c r="A244" s="117"/>
      <c r="B244" s="118"/>
      <c r="C244" s="118"/>
      <c r="D244" s="130"/>
      <c r="E244" s="393" t="s">
        <v>132</v>
      </c>
      <c r="F244" s="394"/>
      <c r="G244" s="120">
        <f>SUM(G232:G243)</f>
        <v>801.4857815370251</v>
      </c>
      <c r="H244" s="120"/>
      <c r="I244" s="121"/>
      <c r="J244" s="135"/>
    </row>
    <row r="245" spans="1:10" x14ac:dyDescent="0.2">
      <c r="A245" s="123" t="s">
        <v>36</v>
      </c>
      <c r="B245" s="110">
        <v>38626</v>
      </c>
      <c r="C245" s="110">
        <v>38717</v>
      </c>
      <c r="D245" s="111">
        <f>+C245-B245+1</f>
        <v>92</v>
      </c>
      <c r="E245" s="122">
        <v>6.23</v>
      </c>
      <c r="F245" s="131">
        <f>F$232+G$244-SUM(H$243:H244)-SUM(I$243:I244)</f>
        <v>6063.3614924601734</v>
      </c>
      <c r="G245" s="114">
        <f>+D245/365*E245/100*F245</f>
        <v>95.213048575848589</v>
      </c>
      <c r="H245" s="114">
        <f t="shared" ref="H245:H253" si="66">F$232/20</f>
        <v>279.05</v>
      </c>
      <c r="I245" s="116">
        <f>G$244/20</f>
        <v>40.074289076851258</v>
      </c>
      <c r="J245" s="134"/>
    </row>
    <row r="246" spans="1:10" x14ac:dyDescent="0.2">
      <c r="A246" s="109" t="s">
        <v>76</v>
      </c>
      <c r="B246" s="110">
        <f>C245+1</f>
        <v>38718</v>
      </c>
      <c r="C246" s="110">
        <v>38807</v>
      </c>
      <c r="D246" s="111">
        <f t="shared" ref="D246:D253" si="67">+C246-B246+1</f>
        <v>90</v>
      </c>
      <c r="E246" s="112">
        <v>6.78</v>
      </c>
      <c r="F246" s="131">
        <f>F$232+G$244-SUM(H$243:H245)-SUM(I$243:I245)</f>
        <v>5744.2372033833226</v>
      </c>
      <c r="G246" s="114">
        <f t="shared" ref="G246:G253" si="68">+D246/365*E246/100*F246</f>
        <v>96.03105593163022</v>
      </c>
      <c r="H246" s="114">
        <f t="shared" si="66"/>
        <v>279.05</v>
      </c>
      <c r="I246" s="116">
        <f t="shared" ref="I246:I253" si="69">G$244/20</f>
        <v>40.074289076851258</v>
      </c>
      <c r="J246" s="134"/>
    </row>
    <row r="247" spans="1:10" x14ac:dyDescent="0.2">
      <c r="A247" s="109" t="s">
        <v>77</v>
      </c>
      <c r="B247" s="110">
        <f t="shared" ref="B247:B264" si="70">C246+1</f>
        <v>38808</v>
      </c>
      <c r="C247" s="110">
        <v>38898</v>
      </c>
      <c r="D247" s="111">
        <f t="shared" si="67"/>
        <v>91</v>
      </c>
      <c r="E247" s="112">
        <v>7.3</v>
      </c>
      <c r="F247" s="131">
        <f>F$232+G$244-SUM(H$243:H246)-SUM(I$243:I246)</f>
        <v>5425.1129143064718</v>
      </c>
      <c r="G247" s="114">
        <f t="shared" si="68"/>
        <v>98.737055040377797</v>
      </c>
      <c r="H247" s="114">
        <f t="shared" si="66"/>
        <v>279.05</v>
      </c>
      <c r="I247" s="116">
        <f t="shared" si="69"/>
        <v>40.074289076851258</v>
      </c>
      <c r="J247" s="134"/>
    </row>
    <row r="248" spans="1:10" x14ac:dyDescent="0.2">
      <c r="A248" s="109" t="s">
        <v>78</v>
      </c>
      <c r="B248" s="110">
        <f t="shared" si="70"/>
        <v>38899</v>
      </c>
      <c r="C248" s="110">
        <v>38990</v>
      </c>
      <c r="D248" s="111">
        <f t="shared" si="67"/>
        <v>92</v>
      </c>
      <c r="E248" s="111">
        <v>7.74</v>
      </c>
      <c r="F248" s="131">
        <f>F$232+G$244-SUM(H$243:H247)-SUM(I$243:I247)</f>
        <v>5105.9886252296201</v>
      </c>
      <c r="G248" s="114">
        <f t="shared" si="68"/>
        <v>99.612941924753656</v>
      </c>
      <c r="H248" s="114">
        <f t="shared" si="66"/>
        <v>279.05</v>
      </c>
      <c r="I248" s="116">
        <f t="shared" si="69"/>
        <v>40.074289076851258</v>
      </c>
      <c r="J248" s="134"/>
    </row>
    <row r="249" spans="1:10" x14ac:dyDescent="0.2">
      <c r="A249" s="109" t="s">
        <v>79</v>
      </c>
      <c r="B249" s="110">
        <f t="shared" si="70"/>
        <v>38991</v>
      </c>
      <c r="C249" s="110">
        <v>39082</v>
      </c>
      <c r="D249" s="111">
        <f t="shared" si="67"/>
        <v>92</v>
      </c>
      <c r="E249" s="111">
        <v>8.17</v>
      </c>
      <c r="F249" s="131">
        <f>F$232+G$244-SUM(H$243:H248)-SUM(I$243:I248)</f>
        <v>4786.8643361527684</v>
      </c>
      <c r="G249" s="114">
        <f t="shared" si="68"/>
        <v>98.575307113037454</v>
      </c>
      <c r="H249" s="114">
        <f t="shared" si="66"/>
        <v>279.05</v>
      </c>
      <c r="I249" s="116">
        <f t="shared" si="69"/>
        <v>40.074289076851258</v>
      </c>
      <c r="J249" s="134"/>
    </row>
    <row r="250" spans="1:10" x14ac:dyDescent="0.2">
      <c r="A250" s="109" t="s">
        <v>80</v>
      </c>
      <c r="B250" s="110">
        <f t="shared" si="70"/>
        <v>39083</v>
      </c>
      <c r="C250" s="110">
        <v>39172</v>
      </c>
      <c r="D250" s="111">
        <f t="shared" si="67"/>
        <v>90</v>
      </c>
      <c r="E250" s="111">
        <v>8.25</v>
      </c>
      <c r="F250" s="131">
        <f>F$232+G$244-SUM(H$243:H249)-SUM(I$243:I249)</f>
        <v>4467.7400470759176</v>
      </c>
      <c r="G250" s="114">
        <f t="shared" si="68"/>
        <v>90.884848902845718</v>
      </c>
      <c r="H250" s="114">
        <f t="shared" si="66"/>
        <v>279.05</v>
      </c>
      <c r="I250" s="116">
        <f t="shared" si="69"/>
        <v>40.074289076851258</v>
      </c>
      <c r="J250" s="134"/>
    </row>
    <row r="251" spans="1:10" x14ac:dyDescent="0.2">
      <c r="A251" s="109" t="s">
        <v>81</v>
      </c>
      <c r="B251" s="110">
        <f t="shared" si="70"/>
        <v>39173</v>
      </c>
      <c r="C251" s="110">
        <v>39263</v>
      </c>
      <c r="D251" s="111">
        <f t="shared" si="67"/>
        <v>91</v>
      </c>
      <c r="E251" s="111">
        <v>8.25</v>
      </c>
      <c r="F251" s="131">
        <f>F$232+G$244-SUM(H$243:H250)-SUM(I$243:I250)</f>
        <v>4148.6157579990659</v>
      </c>
      <c r="G251" s="114">
        <f t="shared" si="68"/>
        <v>85.330774803227371</v>
      </c>
      <c r="H251" s="114">
        <f t="shared" si="66"/>
        <v>279.05</v>
      </c>
      <c r="I251" s="116">
        <f t="shared" si="69"/>
        <v>40.074289076851258</v>
      </c>
      <c r="J251" s="134"/>
    </row>
    <row r="252" spans="1:10" x14ac:dyDescent="0.2">
      <c r="A252" s="109" t="s">
        <v>82</v>
      </c>
      <c r="B252" s="110">
        <f t="shared" si="70"/>
        <v>39264</v>
      </c>
      <c r="C252" s="110">
        <v>39355</v>
      </c>
      <c r="D252" s="111">
        <f t="shared" si="67"/>
        <v>92</v>
      </c>
      <c r="E252" s="111">
        <v>8.25</v>
      </c>
      <c r="F252" s="131">
        <f>F$232+G$244-SUM(H$243:H251)-SUM(I$243:I251)</f>
        <v>3829.4914689222155</v>
      </c>
      <c r="G252" s="114">
        <f t="shared" si="68"/>
        <v>79.632439038683884</v>
      </c>
      <c r="H252" s="114">
        <f t="shared" si="66"/>
        <v>279.05</v>
      </c>
      <c r="I252" s="116">
        <f t="shared" si="69"/>
        <v>40.074289076851258</v>
      </c>
      <c r="J252" s="134"/>
    </row>
    <row r="253" spans="1:10" x14ac:dyDescent="0.2">
      <c r="A253" s="123" t="s">
        <v>83</v>
      </c>
      <c r="B253" s="110">
        <f t="shared" si="70"/>
        <v>39356</v>
      </c>
      <c r="C253" s="110">
        <v>39447</v>
      </c>
      <c r="D253" s="111">
        <f t="shared" si="67"/>
        <v>92</v>
      </c>
      <c r="E253" s="111">
        <v>8.25</v>
      </c>
      <c r="F253" s="131">
        <f>F$232+G$244-SUM(H$243:H252)-SUM(I$243:I252)</f>
        <v>3510.3671798453634</v>
      </c>
      <c r="G253" s="114">
        <f t="shared" si="68"/>
        <v>72.996402452126873</v>
      </c>
      <c r="H253" s="114">
        <f t="shared" si="66"/>
        <v>279.05</v>
      </c>
      <c r="I253" s="116">
        <f t="shared" si="69"/>
        <v>40.074289076851258</v>
      </c>
      <c r="J253" s="134"/>
    </row>
    <row r="254" spans="1:10" x14ac:dyDescent="0.2">
      <c r="A254" s="123" t="s">
        <v>105</v>
      </c>
      <c r="B254" s="110">
        <f t="shared" si="70"/>
        <v>39448</v>
      </c>
      <c r="C254" s="110">
        <v>39538</v>
      </c>
      <c r="D254" s="111">
        <f t="shared" ref="D254:D264" si="71">+C254-B254+1</f>
        <v>91</v>
      </c>
      <c r="E254" s="111">
        <v>7.76</v>
      </c>
      <c r="F254" s="131">
        <f>F$232+G$244-SUM(H$243:H253)-SUM(I$243:I253)</f>
        <v>3191.2428907685121</v>
      </c>
      <c r="G254" s="114">
        <f>+D254/366*E254/100*F254</f>
        <v>61.571805457516191</v>
      </c>
      <c r="H254" s="114">
        <f t="shared" ref="H254:H263" si="72">F$232/20</f>
        <v>279.05</v>
      </c>
      <c r="I254" s="115">
        <f t="shared" ref="I254:I263" si="73">G$244/20</f>
        <v>40.074289076851258</v>
      </c>
      <c r="J254" s="96"/>
    </row>
    <row r="255" spans="1:10" x14ac:dyDescent="0.2">
      <c r="A255" s="123" t="s">
        <v>106</v>
      </c>
      <c r="B255" s="110">
        <f t="shared" si="70"/>
        <v>39539</v>
      </c>
      <c r="C255" s="110">
        <v>39629</v>
      </c>
      <c r="D255" s="111">
        <f t="shared" si="71"/>
        <v>91</v>
      </c>
      <c r="E255" s="111">
        <v>6.77</v>
      </c>
      <c r="F255" s="131">
        <f>F$232+G$244-SUM(H$243:H254)-SUM(I$243:I254)</f>
        <v>2872.1186016916608</v>
      </c>
      <c r="G255" s="114">
        <f>+D255/366*E255/100*F255</f>
        <v>48.344975599567796</v>
      </c>
      <c r="H255" s="114">
        <f t="shared" si="72"/>
        <v>279.05</v>
      </c>
      <c r="I255" s="115">
        <f t="shared" si="73"/>
        <v>40.074289076851258</v>
      </c>
      <c r="J255" s="96"/>
    </row>
    <row r="256" spans="1:10" x14ac:dyDescent="0.2">
      <c r="A256" s="123" t="s">
        <v>107</v>
      </c>
      <c r="B256" s="110">
        <f t="shared" si="70"/>
        <v>39630</v>
      </c>
      <c r="C256" s="110">
        <v>39721</v>
      </c>
      <c r="D256" s="111">
        <f t="shared" si="71"/>
        <v>92</v>
      </c>
      <c r="E256" s="111">
        <v>5.3</v>
      </c>
      <c r="F256" s="131">
        <f>F$232+G$244-SUM(H$243:H255)-SUM(I$243:I255)</f>
        <v>2552.9943126148091</v>
      </c>
      <c r="G256" s="114">
        <f>+D256/366*E256/100*F256</f>
        <v>34.012022591010407</v>
      </c>
      <c r="H256" s="114">
        <f t="shared" si="72"/>
        <v>279.05</v>
      </c>
      <c r="I256" s="115">
        <f t="shared" si="73"/>
        <v>40.074289076851258</v>
      </c>
      <c r="J256" s="96"/>
    </row>
    <row r="257" spans="1:10" x14ac:dyDescent="0.2">
      <c r="A257" s="123" t="s">
        <v>100</v>
      </c>
      <c r="B257" s="110">
        <f t="shared" si="70"/>
        <v>39722</v>
      </c>
      <c r="C257" s="110">
        <v>39813</v>
      </c>
      <c r="D257" s="111">
        <f t="shared" si="71"/>
        <v>92</v>
      </c>
      <c r="E257" s="111">
        <v>5</v>
      </c>
      <c r="F257" s="131">
        <f>F$232+G$244-SUM(H$243:H256)-SUM(I$243:I256)</f>
        <v>2233.8700235379579</v>
      </c>
      <c r="G257" s="114">
        <f>+D257/366*E257/100*F257</f>
        <v>28.075962044466138</v>
      </c>
      <c r="H257" s="114">
        <f t="shared" si="72"/>
        <v>279.05</v>
      </c>
      <c r="I257" s="115">
        <f t="shared" si="73"/>
        <v>40.074289076851258</v>
      </c>
      <c r="J257" s="96"/>
    </row>
    <row r="258" spans="1:10" x14ac:dyDescent="0.2">
      <c r="A258" s="123" t="s">
        <v>108</v>
      </c>
      <c r="B258" s="110">
        <f t="shared" si="70"/>
        <v>39814</v>
      </c>
      <c r="C258" s="110">
        <v>39903</v>
      </c>
      <c r="D258" s="111">
        <f t="shared" si="71"/>
        <v>90</v>
      </c>
      <c r="E258" s="111">
        <v>4.5199999999999996</v>
      </c>
      <c r="F258" s="131">
        <f>F$232+G$244-SUM(H$243:H257)-SUM(I$243:I257)</f>
        <v>1914.7457344611064</v>
      </c>
      <c r="G258" s="114">
        <f t="shared" ref="G258:G264" si="74">+D258/365*E258/100*F258</f>
        <v>21.34023465147337</v>
      </c>
      <c r="H258" s="114">
        <f t="shared" si="72"/>
        <v>279.05</v>
      </c>
      <c r="I258" s="115">
        <f t="shared" si="73"/>
        <v>40.074289076851258</v>
      </c>
      <c r="J258" s="96"/>
    </row>
    <row r="259" spans="1:10" x14ac:dyDescent="0.2">
      <c r="A259" s="123" t="s">
        <v>109</v>
      </c>
      <c r="B259" s="110">
        <f t="shared" si="70"/>
        <v>39904</v>
      </c>
      <c r="C259" s="110">
        <v>39994</v>
      </c>
      <c r="D259" s="111">
        <f t="shared" si="71"/>
        <v>91</v>
      </c>
      <c r="E259" s="111">
        <v>3.37</v>
      </c>
      <c r="F259" s="131">
        <f>F$232+G$244-SUM(H$243:H258)-SUM(I$243:I258)</f>
        <v>1595.6214453842554</v>
      </c>
      <c r="G259" s="114">
        <f t="shared" si="74"/>
        <v>13.4062802371504</v>
      </c>
      <c r="H259" s="114">
        <f t="shared" si="72"/>
        <v>279.05</v>
      </c>
      <c r="I259" s="115">
        <f t="shared" si="73"/>
        <v>40.074289076851258</v>
      </c>
      <c r="J259" s="96"/>
    </row>
    <row r="260" spans="1:10" x14ac:dyDescent="0.2">
      <c r="A260" s="123" t="s">
        <v>111</v>
      </c>
      <c r="B260" s="110">
        <f t="shared" si="70"/>
        <v>39995</v>
      </c>
      <c r="C260" s="110">
        <v>40086</v>
      </c>
      <c r="D260" s="111">
        <f t="shared" si="71"/>
        <v>92</v>
      </c>
      <c r="E260" s="111">
        <v>3.25</v>
      </c>
      <c r="F260" s="131">
        <f>F$232+G$244-SUM(H$243:H259)-SUM(I$243:I259)</f>
        <v>1276.4971563074039</v>
      </c>
      <c r="G260" s="114">
        <f t="shared" si="74"/>
        <v>10.456784924271611</v>
      </c>
      <c r="H260" s="114">
        <f t="shared" si="72"/>
        <v>279.05</v>
      </c>
      <c r="I260" s="115">
        <f t="shared" si="73"/>
        <v>40.074289076851258</v>
      </c>
      <c r="J260" s="96"/>
    </row>
    <row r="261" spans="1:10" x14ac:dyDescent="0.2">
      <c r="A261" s="123" t="s">
        <v>101</v>
      </c>
      <c r="B261" s="110">
        <f t="shared" si="70"/>
        <v>40087</v>
      </c>
      <c r="C261" s="110">
        <v>40178</v>
      </c>
      <c r="D261" s="111">
        <f t="shared" si="71"/>
        <v>92</v>
      </c>
      <c r="E261" s="111">
        <f>E260</f>
        <v>3.25</v>
      </c>
      <c r="F261" s="131">
        <f>F$232+G$244-SUM(H$243:H260)-SUM(I$243:I260)</f>
        <v>957.3728672305524</v>
      </c>
      <c r="G261" s="114">
        <f t="shared" si="74"/>
        <v>7.8425886932037043</v>
      </c>
      <c r="H261" s="114">
        <f t="shared" si="72"/>
        <v>279.05</v>
      </c>
      <c r="I261" s="115">
        <f t="shared" si="73"/>
        <v>40.074289076851258</v>
      </c>
      <c r="J261" s="96"/>
    </row>
    <row r="262" spans="1:10" x14ac:dyDescent="0.2">
      <c r="A262" s="123" t="s">
        <v>112</v>
      </c>
      <c r="B262" s="110">
        <f t="shared" si="70"/>
        <v>40179</v>
      </c>
      <c r="C262" s="110">
        <v>40268</v>
      </c>
      <c r="D262" s="111">
        <f t="shared" si="71"/>
        <v>90</v>
      </c>
      <c r="E262" s="111">
        <f>E261</f>
        <v>3.25</v>
      </c>
      <c r="F262" s="131">
        <f>F$232+G$244-SUM(H$243:H261)-SUM(I$243:I261)</f>
        <v>638.24857815370092</v>
      </c>
      <c r="G262" s="114">
        <f t="shared" si="74"/>
        <v>5.1147317564371919</v>
      </c>
      <c r="H262" s="114">
        <f t="shared" si="72"/>
        <v>279.05</v>
      </c>
      <c r="I262" s="115">
        <f t="shared" si="73"/>
        <v>40.074289076851258</v>
      </c>
      <c r="J262" s="96"/>
    </row>
    <row r="263" spans="1:10" x14ac:dyDescent="0.2">
      <c r="A263" s="123" t="s">
        <v>113</v>
      </c>
      <c r="B263" s="110">
        <f t="shared" si="70"/>
        <v>40269</v>
      </c>
      <c r="C263" s="110">
        <v>40359</v>
      </c>
      <c r="D263" s="111">
        <f t="shared" si="71"/>
        <v>91</v>
      </c>
      <c r="E263" s="111">
        <f>E262</f>
        <v>3.25</v>
      </c>
      <c r="F263" s="131">
        <f>F$232+G$244-SUM(H$243:H262)-SUM(I$243:I262)</f>
        <v>319.12428907684944</v>
      </c>
      <c r="G263" s="114">
        <f t="shared" si="74"/>
        <v>2.5857810546432392</v>
      </c>
      <c r="H263" s="114">
        <f t="shared" si="72"/>
        <v>279.05</v>
      </c>
      <c r="I263" s="115">
        <f t="shared" si="73"/>
        <v>40.074289076851258</v>
      </c>
      <c r="J263" s="96"/>
    </row>
    <row r="264" spans="1:10" x14ac:dyDescent="0.2">
      <c r="A264" s="124" t="s">
        <v>114</v>
      </c>
      <c r="B264" s="125">
        <f t="shared" si="70"/>
        <v>40360</v>
      </c>
      <c r="C264" s="125">
        <v>40451</v>
      </c>
      <c r="D264" s="126">
        <f t="shared" si="71"/>
        <v>92</v>
      </c>
      <c r="E264" s="111">
        <v>3.25</v>
      </c>
      <c r="F264" s="132">
        <f>F$232+G$244-SUM(H$243:H263)-SUM(I$243:I263)</f>
        <v>-2.0463630789890885E-12</v>
      </c>
      <c r="G264" s="127">
        <f t="shared" si="74"/>
        <v>-1.6763357825143494E-14</v>
      </c>
      <c r="H264" s="127">
        <v>0</v>
      </c>
      <c r="I264" s="128">
        <v>0</v>
      </c>
      <c r="J264" s="96"/>
    </row>
    <row r="266" spans="1:10" x14ac:dyDescent="0.2">
      <c r="A266" s="387" t="s">
        <v>56</v>
      </c>
      <c r="B266" s="388"/>
      <c r="C266" s="388"/>
      <c r="D266" s="388"/>
      <c r="E266" s="388"/>
      <c r="F266" s="388"/>
      <c r="G266" s="388"/>
      <c r="H266" s="388"/>
      <c r="I266" s="388"/>
      <c r="J266" s="389"/>
    </row>
    <row r="267" spans="1:10" x14ac:dyDescent="0.2">
      <c r="A267" s="30" t="s">
        <v>10</v>
      </c>
      <c r="B267" s="30" t="s">
        <v>11</v>
      </c>
      <c r="C267" s="30" t="s">
        <v>12</v>
      </c>
      <c r="D267" s="30" t="s">
        <v>13</v>
      </c>
      <c r="E267" s="30" t="s">
        <v>14</v>
      </c>
      <c r="F267" s="30" t="s">
        <v>15</v>
      </c>
      <c r="G267" s="30" t="s">
        <v>16</v>
      </c>
      <c r="H267" s="30"/>
      <c r="I267" s="30"/>
      <c r="J267" s="30" t="s">
        <v>17</v>
      </c>
    </row>
    <row r="268" spans="1:10" ht="51" x14ac:dyDescent="0.2">
      <c r="A268" s="70" t="s">
        <v>18</v>
      </c>
      <c r="B268" s="70" t="s">
        <v>19</v>
      </c>
      <c r="C268" s="70" t="s">
        <v>20</v>
      </c>
      <c r="D268" s="70" t="s">
        <v>21</v>
      </c>
      <c r="E268" s="70" t="s">
        <v>22</v>
      </c>
      <c r="F268" s="70" t="s">
        <v>23</v>
      </c>
      <c r="G268" s="6" t="s">
        <v>130</v>
      </c>
      <c r="H268" s="6" t="s">
        <v>37</v>
      </c>
      <c r="I268" s="6" t="s">
        <v>131</v>
      </c>
      <c r="J268" s="70" t="s">
        <v>25</v>
      </c>
    </row>
    <row r="269" spans="1:10" x14ac:dyDescent="0.2">
      <c r="A269" s="102" t="s">
        <v>48</v>
      </c>
      <c r="B269" s="103">
        <f>B20</f>
        <v>37544</v>
      </c>
      <c r="C269" s="103">
        <v>37621</v>
      </c>
      <c r="D269" s="104">
        <f t="shared" ref="D269:D280" si="75">+C269-B269+1</f>
        <v>78</v>
      </c>
      <c r="E269" s="105">
        <v>4.75</v>
      </c>
      <c r="F269" s="106">
        <f>E20</f>
        <v>3407</v>
      </c>
      <c r="G269" s="107">
        <f>+D269/365*E269/100*F269</f>
        <v>34.583383561643842</v>
      </c>
      <c r="H269" s="107"/>
      <c r="I269" s="108"/>
      <c r="J269" s="142">
        <f>F269+G269</f>
        <v>3441.583383561644</v>
      </c>
    </row>
    <row r="270" spans="1:10" x14ac:dyDescent="0.2">
      <c r="A270" s="109" t="s">
        <v>26</v>
      </c>
      <c r="B270" s="110">
        <v>37622</v>
      </c>
      <c r="C270" s="110">
        <v>37711</v>
      </c>
      <c r="D270" s="111">
        <f t="shared" si="75"/>
        <v>90</v>
      </c>
      <c r="E270" s="112">
        <v>4.62</v>
      </c>
      <c r="F270" s="113">
        <f t="shared" ref="F270:F280" si="76">+J269</f>
        <v>3441.583383561644</v>
      </c>
      <c r="G270" s="114">
        <f>+D270/365*E270/100*F270</f>
        <v>39.205763585888533</v>
      </c>
      <c r="H270" s="114"/>
      <c r="I270" s="115"/>
      <c r="J270" s="129">
        <f>+J269+G270</f>
        <v>3480.7891471475327</v>
      </c>
    </row>
    <row r="271" spans="1:10" x14ac:dyDescent="0.2">
      <c r="A271" s="109" t="s">
        <v>27</v>
      </c>
      <c r="B271" s="110">
        <v>37712</v>
      </c>
      <c r="C271" s="110">
        <v>37802</v>
      </c>
      <c r="D271" s="111">
        <f t="shared" si="75"/>
        <v>91</v>
      </c>
      <c r="E271" s="112">
        <v>4.25</v>
      </c>
      <c r="F271" s="113">
        <f t="shared" si="76"/>
        <v>3480.7891471475327</v>
      </c>
      <c r="G271" s="114">
        <f>+D271/365*E271/100*F271</f>
        <v>36.882060346830364</v>
      </c>
      <c r="H271" s="114"/>
      <c r="I271" s="115"/>
      <c r="J271" s="129">
        <f>+J270+G271</f>
        <v>3517.671207494363</v>
      </c>
    </row>
    <row r="272" spans="1:10" x14ac:dyDescent="0.2">
      <c r="A272" s="109" t="s">
        <v>28</v>
      </c>
      <c r="B272" s="110">
        <v>37803</v>
      </c>
      <c r="C272" s="110">
        <v>37894</v>
      </c>
      <c r="D272" s="111">
        <f t="shared" si="75"/>
        <v>92</v>
      </c>
      <c r="E272" s="112">
        <v>4.25</v>
      </c>
      <c r="F272" s="113">
        <f t="shared" si="76"/>
        <v>3517.671207494363</v>
      </c>
      <c r="G272" s="114">
        <f>+D272/365*E272/100*F272</f>
        <v>37.682450469323179</v>
      </c>
      <c r="H272" s="114"/>
      <c r="I272" s="115"/>
      <c r="J272" s="129">
        <f>+J271+G272</f>
        <v>3555.3536579636861</v>
      </c>
    </row>
    <row r="273" spans="1:10" x14ac:dyDescent="0.2">
      <c r="A273" s="109" t="s">
        <v>29</v>
      </c>
      <c r="B273" s="110">
        <v>37895</v>
      </c>
      <c r="C273" s="110">
        <v>37986</v>
      </c>
      <c r="D273" s="111">
        <f t="shared" si="75"/>
        <v>92</v>
      </c>
      <c r="E273" s="112">
        <v>4.07</v>
      </c>
      <c r="F273" s="113">
        <f t="shared" si="76"/>
        <v>3555.3536579636861</v>
      </c>
      <c r="G273" s="114">
        <f>+D273/365*E273/100*F273</f>
        <v>36.473058183230762</v>
      </c>
      <c r="H273" s="114"/>
      <c r="I273" s="115"/>
      <c r="J273" s="129">
        <f>+F273+G273</f>
        <v>3591.8267161469171</v>
      </c>
    </row>
    <row r="274" spans="1:10" x14ac:dyDescent="0.2">
      <c r="A274" s="109" t="s">
        <v>30</v>
      </c>
      <c r="B274" s="110">
        <v>37987</v>
      </c>
      <c r="C274" s="110">
        <v>38077</v>
      </c>
      <c r="D274" s="111">
        <f t="shared" si="75"/>
        <v>91</v>
      </c>
      <c r="E274" s="112">
        <v>4</v>
      </c>
      <c r="F274" s="113">
        <f t="shared" si="76"/>
        <v>3591.8267161469171</v>
      </c>
      <c r="G274" s="114">
        <f>+D274/366*E274/100*F274</f>
        <v>35.721992477526719</v>
      </c>
      <c r="H274" s="114"/>
      <c r="I274" s="115"/>
      <c r="J274" s="129">
        <f t="shared" ref="J274:J280" si="77">+F274+G274</f>
        <v>3627.5487086244439</v>
      </c>
    </row>
    <row r="275" spans="1:10" x14ac:dyDescent="0.2">
      <c r="A275" s="109" t="s">
        <v>44</v>
      </c>
      <c r="B275" s="110">
        <v>38078</v>
      </c>
      <c r="C275" s="110">
        <v>38168</v>
      </c>
      <c r="D275" s="111">
        <f t="shared" si="75"/>
        <v>91</v>
      </c>
      <c r="E275" s="112">
        <v>4</v>
      </c>
      <c r="F275" s="113">
        <f t="shared" si="76"/>
        <v>3627.5487086244439</v>
      </c>
      <c r="G275" s="114">
        <f>+D275/366*E275/100*F275</f>
        <v>36.07726038085513</v>
      </c>
      <c r="H275" s="114"/>
      <c r="I275" s="115"/>
      <c r="J275" s="129">
        <f t="shared" si="77"/>
        <v>3663.6259690052989</v>
      </c>
    </row>
    <row r="276" spans="1:10" x14ac:dyDescent="0.2">
      <c r="A276" s="109" t="s">
        <v>41</v>
      </c>
      <c r="B276" s="110">
        <v>38169</v>
      </c>
      <c r="C276" s="110">
        <v>38260</v>
      </c>
      <c r="D276" s="111">
        <f t="shared" si="75"/>
        <v>92</v>
      </c>
      <c r="E276" s="112">
        <v>4</v>
      </c>
      <c r="F276" s="113">
        <f t="shared" si="76"/>
        <v>3663.6259690052989</v>
      </c>
      <c r="G276" s="114">
        <f>+D276/366*E276/100*F276</f>
        <v>36.836457830435791</v>
      </c>
      <c r="H276" s="114"/>
      <c r="I276" s="115"/>
      <c r="J276" s="129">
        <f t="shared" si="77"/>
        <v>3700.4624268357347</v>
      </c>
    </row>
    <row r="277" spans="1:10" x14ac:dyDescent="0.2">
      <c r="A277" s="109" t="s">
        <v>45</v>
      </c>
      <c r="B277" s="110">
        <v>38261</v>
      </c>
      <c r="C277" s="110">
        <v>38352</v>
      </c>
      <c r="D277" s="111">
        <f t="shared" si="75"/>
        <v>92</v>
      </c>
      <c r="E277" s="112">
        <v>4.22</v>
      </c>
      <c r="F277" s="113">
        <f t="shared" si="76"/>
        <v>3700.4624268357347</v>
      </c>
      <c r="G277" s="114">
        <f>+D277/366*E277/100*F277</f>
        <v>39.253211273079387</v>
      </c>
      <c r="H277" s="114"/>
      <c r="I277" s="115"/>
      <c r="J277" s="129">
        <f t="shared" si="77"/>
        <v>3739.7156381088143</v>
      </c>
    </row>
    <row r="278" spans="1:10" x14ac:dyDescent="0.2">
      <c r="A278" s="109" t="s">
        <v>43</v>
      </c>
      <c r="B278" s="110">
        <v>38353</v>
      </c>
      <c r="C278" s="110">
        <v>38442</v>
      </c>
      <c r="D278" s="111">
        <f t="shared" si="75"/>
        <v>90</v>
      </c>
      <c r="E278" s="112">
        <v>4.75</v>
      </c>
      <c r="F278" s="113">
        <f t="shared" si="76"/>
        <v>3739.7156381088143</v>
      </c>
      <c r="G278" s="114">
        <f>+D278/365*E278/100*F278</f>
        <v>43.800779049082692</v>
      </c>
      <c r="H278" s="114"/>
      <c r="I278" s="115"/>
      <c r="J278" s="129">
        <f t="shared" si="77"/>
        <v>3783.5164171578972</v>
      </c>
    </row>
    <row r="279" spans="1:10" x14ac:dyDescent="0.2">
      <c r="A279" s="109" t="s">
        <v>40</v>
      </c>
      <c r="B279" s="110">
        <v>38443</v>
      </c>
      <c r="C279" s="110">
        <v>38533</v>
      </c>
      <c r="D279" s="111">
        <f t="shared" si="75"/>
        <v>91</v>
      </c>
      <c r="E279" s="112">
        <v>5.3</v>
      </c>
      <c r="F279" s="113">
        <f t="shared" si="76"/>
        <v>3783.5164171578972</v>
      </c>
      <c r="G279" s="114">
        <f>+D279/365*E279/100*F279</f>
        <v>49.994245698500102</v>
      </c>
      <c r="H279" s="114"/>
      <c r="I279" s="115"/>
      <c r="J279" s="129">
        <f t="shared" si="77"/>
        <v>3833.5106628563972</v>
      </c>
    </row>
    <row r="280" spans="1:10" x14ac:dyDescent="0.2">
      <c r="A280" s="109" t="s">
        <v>42</v>
      </c>
      <c r="B280" s="110">
        <v>38534</v>
      </c>
      <c r="C280" s="110">
        <v>38625</v>
      </c>
      <c r="D280" s="111">
        <f t="shared" si="75"/>
        <v>92</v>
      </c>
      <c r="E280" s="112">
        <v>5.77</v>
      </c>
      <c r="F280" s="113">
        <f t="shared" si="76"/>
        <v>3833.5106628563972</v>
      </c>
      <c r="G280" s="114">
        <f>+D280/365*E280/100*F280</f>
        <v>55.752898637553152</v>
      </c>
      <c r="H280" s="114">
        <f>F$269/20</f>
        <v>170.35</v>
      </c>
      <c r="I280" s="115">
        <f>G$281/20</f>
        <v>24.11317807469748</v>
      </c>
      <c r="J280" s="129">
        <f t="shared" si="77"/>
        <v>3889.2635614939504</v>
      </c>
    </row>
    <row r="281" spans="1:10" x14ac:dyDescent="0.2">
      <c r="A281" s="117"/>
      <c r="B281" s="118"/>
      <c r="C281" s="118"/>
      <c r="D281" s="130"/>
      <c r="E281" s="393" t="s">
        <v>132</v>
      </c>
      <c r="F281" s="394"/>
      <c r="G281" s="120">
        <f>SUM(G269:G280)</f>
        <v>482.26356149394962</v>
      </c>
      <c r="H281" s="120"/>
      <c r="I281" s="121"/>
      <c r="J281" s="135"/>
    </row>
    <row r="282" spans="1:10" x14ac:dyDescent="0.2">
      <c r="A282" s="123" t="s">
        <v>36</v>
      </c>
      <c r="B282" s="110">
        <v>38626</v>
      </c>
      <c r="C282" s="110">
        <v>38717</v>
      </c>
      <c r="D282" s="111">
        <f>+C282-B282+1</f>
        <v>92</v>
      </c>
      <c r="E282" s="122">
        <v>6.23</v>
      </c>
      <c r="F282" s="131">
        <f>F$269+G$281-SUM(H$280:H281)-SUM(I$280:I281)</f>
        <v>3694.8003834192523</v>
      </c>
      <c r="G282" s="114">
        <f>+D282/365*E282/100*F282</f>
        <v>58.019501034536404</v>
      </c>
      <c r="H282" s="114">
        <f t="shared" ref="H282:H290" si="78">F$269/20</f>
        <v>170.35</v>
      </c>
      <c r="I282" s="116">
        <f t="shared" ref="I282:I290" si="79">G$281/20</f>
        <v>24.11317807469748</v>
      </c>
      <c r="J282" s="134"/>
    </row>
    <row r="283" spans="1:10" x14ac:dyDescent="0.2">
      <c r="A283" s="109" t="s">
        <v>76</v>
      </c>
      <c r="B283" s="110">
        <f>C282+1</f>
        <v>38718</v>
      </c>
      <c r="C283" s="110">
        <v>38807</v>
      </c>
      <c r="D283" s="111">
        <f t="shared" ref="D283:D290" si="80">+C283-B283+1</f>
        <v>90</v>
      </c>
      <c r="E283" s="112">
        <v>6.78</v>
      </c>
      <c r="F283" s="131">
        <f>F$269+G$281-SUM(H$280:H282)-SUM(I$280:I282)</f>
        <v>3500.3372053445546</v>
      </c>
      <c r="G283" s="114">
        <f t="shared" ref="G283:G290" si="81">+D283/365*E283/100*F283</f>
        <v>58.517966101404021</v>
      </c>
      <c r="H283" s="114">
        <f t="shared" si="78"/>
        <v>170.35</v>
      </c>
      <c r="I283" s="116">
        <f t="shared" si="79"/>
        <v>24.11317807469748</v>
      </c>
      <c r="J283" s="134"/>
    </row>
    <row r="284" spans="1:10" x14ac:dyDescent="0.2">
      <c r="A284" s="109" t="s">
        <v>77</v>
      </c>
      <c r="B284" s="110">
        <f t="shared" ref="B284:B301" si="82">C283+1</f>
        <v>38808</v>
      </c>
      <c r="C284" s="110">
        <v>38898</v>
      </c>
      <c r="D284" s="111">
        <f t="shared" si="80"/>
        <v>91</v>
      </c>
      <c r="E284" s="112">
        <v>7.3</v>
      </c>
      <c r="F284" s="131">
        <f>F$269+G$281-SUM(H$280:H283)-SUM(I$280:I283)</f>
        <v>3305.8740272698574</v>
      </c>
      <c r="G284" s="114">
        <f t="shared" si="81"/>
        <v>60.166907296311408</v>
      </c>
      <c r="H284" s="114">
        <f t="shared" si="78"/>
        <v>170.35</v>
      </c>
      <c r="I284" s="116">
        <f t="shared" si="79"/>
        <v>24.11317807469748</v>
      </c>
      <c r="J284" s="134"/>
    </row>
    <row r="285" spans="1:10" x14ac:dyDescent="0.2">
      <c r="A285" s="109" t="s">
        <v>78</v>
      </c>
      <c r="B285" s="110">
        <f t="shared" si="82"/>
        <v>38899</v>
      </c>
      <c r="C285" s="110">
        <v>38990</v>
      </c>
      <c r="D285" s="111">
        <f t="shared" si="80"/>
        <v>92</v>
      </c>
      <c r="E285" s="111">
        <v>7.74</v>
      </c>
      <c r="F285" s="131">
        <f>F$269+G$281-SUM(H$280:H284)-SUM(I$280:I284)</f>
        <v>3111.4108491951597</v>
      </c>
      <c r="G285" s="114">
        <f t="shared" si="81"/>
        <v>60.700642123147666</v>
      </c>
      <c r="H285" s="114">
        <f t="shared" si="78"/>
        <v>170.35</v>
      </c>
      <c r="I285" s="116">
        <f t="shared" si="79"/>
        <v>24.11317807469748</v>
      </c>
      <c r="J285" s="134"/>
    </row>
    <row r="286" spans="1:10" x14ac:dyDescent="0.2">
      <c r="A286" s="109" t="s">
        <v>79</v>
      </c>
      <c r="B286" s="110">
        <f t="shared" si="82"/>
        <v>38991</v>
      </c>
      <c r="C286" s="110">
        <v>39082</v>
      </c>
      <c r="D286" s="111">
        <f t="shared" si="80"/>
        <v>92</v>
      </c>
      <c r="E286" s="111">
        <v>8.17</v>
      </c>
      <c r="F286" s="131">
        <f>F$269+G$281-SUM(H$280:H285)-SUM(I$280:I285)</f>
        <v>2916.947671120462</v>
      </c>
      <c r="G286" s="114">
        <f t="shared" si="81"/>
        <v>60.068343767698195</v>
      </c>
      <c r="H286" s="114">
        <f t="shared" si="78"/>
        <v>170.35</v>
      </c>
      <c r="I286" s="116">
        <f t="shared" si="79"/>
        <v>24.11317807469748</v>
      </c>
      <c r="J286" s="134"/>
    </row>
    <row r="287" spans="1:10" x14ac:dyDescent="0.2">
      <c r="A287" s="109" t="s">
        <v>80</v>
      </c>
      <c r="B287" s="110">
        <f t="shared" si="82"/>
        <v>39083</v>
      </c>
      <c r="C287" s="110">
        <v>39172</v>
      </c>
      <c r="D287" s="111">
        <f t="shared" si="80"/>
        <v>90</v>
      </c>
      <c r="E287" s="111">
        <v>8.25</v>
      </c>
      <c r="F287" s="131">
        <f>F$269+G$281-SUM(H$280:H286)-SUM(I$280:I286)</f>
        <v>2722.4844930457648</v>
      </c>
      <c r="G287" s="114">
        <f t="shared" si="81"/>
        <v>55.382047564013156</v>
      </c>
      <c r="H287" s="114">
        <f t="shared" si="78"/>
        <v>170.35</v>
      </c>
      <c r="I287" s="116">
        <f t="shared" si="79"/>
        <v>24.11317807469748</v>
      </c>
      <c r="J287" s="134"/>
    </row>
    <row r="288" spans="1:10" x14ac:dyDescent="0.2">
      <c r="A288" s="109" t="s">
        <v>81</v>
      </c>
      <c r="B288" s="110">
        <f t="shared" si="82"/>
        <v>39173</v>
      </c>
      <c r="C288" s="110">
        <v>39263</v>
      </c>
      <c r="D288" s="111">
        <f t="shared" si="80"/>
        <v>91</v>
      </c>
      <c r="E288" s="111">
        <v>8.25</v>
      </c>
      <c r="F288" s="131">
        <f>F$269+G$281-SUM(H$280:H287)-SUM(I$280:I287)</f>
        <v>2528.0213149710667</v>
      </c>
      <c r="G288" s="114">
        <f t="shared" si="81"/>
        <v>51.9975891017679</v>
      </c>
      <c r="H288" s="114">
        <f t="shared" si="78"/>
        <v>170.35</v>
      </c>
      <c r="I288" s="116">
        <f t="shared" si="79"/>
        <v>24.11317807469748</v>
      </c>
      <c r="J288" s="134"/>
    </row>
    <row r="289" spans="1:10" x14ac:dyDescent="0.2">
      <c r="A289" s="109" t="s">
        <v>82</v>
      </c>
      <c r="B289" s="110">
        <f t="shared" si="82"/>
        <v>39264</v>
      </c>
      <c r="C289" s="110">
        <v>39355</v>
      </c>
      <c r="D289" s="111">
        <f t="shared" si="80"/>
        <v>92</v>
      </c>
      <c r="E289" s="111">
        <v>8.25</v>
      </c>
      <c r="F289" s="131">
        <f>F$269+G$281-SUM(H$280:H288)-SUM(I$280:I288)</f>
        <v>2333.5581368963699</v>
      </c>
      <c r="G289" s="114">
        <f t="shared" si="81"/>
        <v>48.5252226275163</v>
      </c>
      <c r="H289" s="114">
        <f t="shared" si="78"/>
        <v>170.35</v>
      </c>
      <c r="I289" s="116">
        <f t="shared" si="79"/>
        <v>24.11317807469748</v>
      </c>
      <c r="J289" s="134"/>
    </row>
    <row r="290" spans="1:10" x14ac:dyDescent="0.2">
      <c r="A290" s="123" t="s">
        <v>83</v>
      </c>
      <c r="B290" s="110">
        <f t="shared" si="82"/>
        <v>39356</v>
      </c>
      <c r="C290" s="110">
        <v>39447</v>
      </c>
      <c r="D290" s="111">
        <f t="shared" si="80"/>
        <v>92</v>
      </c>
      <c r="E290" s="111">
        <v>8.25</v>
      </c>
      <c r="F290" s="131">
        <f>F$269+G$281-SUM(H$280:H289)-SUM(I$280:I289)</f>
        <v>2139.0949588216722</v>
      </c>
      <c r="G290" s="114">
        <f t="shared" si="81"/>
        <v>44.481454075223269</v>
      </c>
      <c r="H290" s="114">
        <f t="shared" si="78"/>
        <v>170.35</v>
      </c>
      <c r="I290" s="116">
        <f t="shared" si="79"/>
        <v>24.11317807469748</v>
      </c>
      <c r="J290" s="134"/>
    </row>
    <row r="291" spans="1:10" x14ac:dyDescent="0.2">
      <c r="A291" s="123" t="s">
        <v>105</v>
      </c>
      <c r="B291" s="110">
        <f t="shared" si="82"/>
        <v>39448</v>
      </c>
      <c r="C291" s="110">
        <v>39538</v>
      </c>
      <c r="D291" s="111">
        <f t="shared" ref="D291:D301" si="83">+C291-B291+1</f>
        <v>91</v>
      </c>
      <c r="E291" s="111">
        <v>7.76</v>
      </c>
      <c r="F291" s="131">
        <f>F$269+G$281-SUM(H$280:H290)-SUM(I$280:I290)</f>
        <v>1944.6317807469752</v>
      </c>
      <c r="G291" s="114">
        <f>+D291/366*E291/100*F291</f>
        <v>37.519704324925797</v>
      </c>
      <c r="H291" s="114">
        <f t="shared" ref="H291:H300" si="84">F$269/20</f>
        <v>170.35</v>
      </c>
      <c r="I291" s="115">
        <f t="shared" ref="I291:I300" si="85">G$281/20</f>
        <v>24.11317807469748</v>
      </c>
      <c r="J291" s="96"/>
    </row>
    <row r="292" spans="1:10" x14ac:dyDescent="0.2">
      <c r="A292" s="123" t="s">
        <v>106</v>
      </c>
      <c r="B292" s="110">
        <f t="shared" si="82"/>
        <v>39539</v>
      </c>
      <c r="C292" s="110">
        <v>39629</v>
      </c>
      <c r="D292" s="111">
        <f t="shared" si="83"/>
        <v>91</v>
      </c>
      <c r="E292" s="111">
        <v>6.77</v>
      </c>
      <c r="F292" s="131">
        <f>F$269+G$281-SUM(H$280:H291)-SUM(I$280:I291)</f>
        <v>1750.1686026722775</v>
      </c>
      <c r="G292" s="114">
        <f>+D292/366*E292/100*F292</f>
        <v>29.459736913888246</v>
      </c>
      <c r="H292" s="114">
        <f t="shared" si="84"/>
        <v>170.35</v>
      </c>
      <c r="I292" s="115">
        <f t="shared" si="85"/>
        <v>24.11317807469748</v>
      </c>
      <c r="J292" s="96"/>
    </row>
    <row r="293" spans="1:10" x14ac:dyDescent="0.2">
      <c r="A293" s="123" t="s">
        <v>107</v>
      </c>
      <c r="B293" s="110">
        <f t="shared" si="82"/>
        <v>39630</v>
      </c>
      <c r="C293" s="110">
        <v>39721</v>
      </c>
      <c r="D293" s="111">
        <f t="shared" si="83"/>
        <v>92</v>
      </c>
      <c r="E293" s="111">
        <v>5.3</v>
      </c>
      <c r="F293" s="131">
        <f>F$269+G$281-SUM(H$280:H292)-SUM(I$280:I292)</f>
        <v>1555.7054245975801</v>
      </c>
      <c r="G293" s="114">
        <f>+D293/366*E293/100*F293</f>
        <v>20.725736749556834</v>
      </c>
      <c r="H293" s="114">
        <f t="shared" si="84"/>
        <v>170.35</v>
      </c>
      <c r="I293" s="115">
        <f t="shared" si="85"/>
        <v>24.11317807469748</v>
      </c>
      <c r="J293" s="96"/>
    </row>
    <row r="294" spans="1:10" x14ac:dyDescent="0.2">
      <c r="A294" s="123" t="s">
        <v>100</v>
      </c>
      <c r="B294" s="110">
        <f t="shared" si="82"/>
        <v>39722</v>
      </c>
      <c r="C294" s="110">
        <v>39813</v>
      </c>
      <c r="D294" s="111">
        <f t="shared" si="83"/>
        <v>92</v>
      </c>
      <c r="E294" s="111">
        <v>5</v>
      </c>
      <c r="F294" s="131">
        <f>F$269+G$281-SUM(H$280:H293)-SUM(I$280:I293)</f>
        <v>1361.2422465228824</v>
      </c>
      <c r="G294" s="114">
        <f>+D294/366*E294/100*F294</f>
        <v>17.108509109303988</v>
      </c>
      <c r="H294" s="114">
        <f t="shared" si="84"/>
        <v>170.35</v>
      </c>
      <c r="I294" s="115">
        <f t="shared" si="85"/>
        <v>24.11317807469748</v>
      </c>
      <c r="J294" s="96"/>
    </row>
    <row r="295" spans="1:10" x14ac:dyDescent="0.2">
      <c r="A295" s="123" t="s">
        <v>108</v>
      </c>
      <c r="B295" s="110">
        <f t="shared" si="82"/>
        <v>39814</v>
      </c>
      <c r="C295" s="110">
        <v>39903</v>
      </c>
      <c r="D295" s="111">
        <f t="shared" si="83"/>
        <v>90</v>
      </c>
      <c r="E295" s="111">
        <v>4.5199999999999996</v>
      </c>
      <c r="F295" s="131">
        <f>F$269+G$281-SUM(H$280:H294)-SUM(I$280:I294)</f>
        <v>1166.7790684481852</v>
      </c>
      <c r="G295" s="114">
        <f t="shared" ref="G295:G301" si="86">+D295/365*E295/100*F295</f>
        <v>13.003992466978676</v>
      </c>
      <c r="H295" s="114">
        <f t="shared" si="84"/>
        <v>170.35</v>
      </c>
      <c r="I295" s="115">
        <f t="shared" si="85"/>
        <v>24.11317807469748</v>
      </c>
      <c r="J295" s="96"/>
    </row>
    <row r="296" spans="1:10" x14ac:dyDescent="0.2">
      <c r="A296" s="123" t="s">
        <v>109</v>
      </c>
      <c r="B296" s="110">
        <f t="shared" si="82"/>
        <v>39904</v>
      </c>
      <c r="C296" s="110">
        <v>39994</v>
      </c>
      <c r="D296" s="111">
        <f t="shared" si="83"/>
        <v>91</v>
      </c>
      <c r="E296" s="111">
        <v>3.37</v>
      </c>
      <c r="F296" s="131">
        <f>F$269+G$281-SUM(H$280:H295)-SUM(I$280:I295)</f>
        <v>972.31589037348772</v>
      </c>
      <c r="G296" s="114">
        <f t="shared" si="86"/>
        <v>8.1693181945434912</v>
      </c>
      <c r="H296" s="114">
        <f t="shared" si="84"/>
        <v>170.35</v>
      </c>
      <c r="I296" s="115">
        <f t="shared" si="85"/>
        <v>24.11317807469748</v>
      </c>
      <c r="J296" s="96"/>
    </row>
    <row r="297" spans="1:10" x14ac:dyDescent="0.2">
      <c r="A297" s="123" t="s">
        <v>111</v>
      </c>
      <c r="B297" s="110">
        <f t="shared" si="82"/>
        <v>39995</v>
      </c>
      <c r="C297" s="110">
        <v>40086</v>
      </c>
      <c r="D297" s="111">
        <f t="shared" si="83"/>
        <v>92</v>
      </c>
      <c r="E297" s="111">
        <v>3.25</v>
      </c>
      <c r="F297" s="131">
        <f>F$269+G$281-SUM(H$280:H296)-SUM(I$280:I296)</f>
        <v>777.85271229879027</v>
      </c>
      <c r="G297" s="114">
        <f t="shared" si="86"/>
        <v>6.3719989308859812</v>
      </c>
      <c r="H297" s="114">
        <f t="shared" si="84"/>
        <v>170.35</v>
      </c>
      <c r="I297" s="115">
        <f t="shared" si="85"/>
        <v>24.11317807469748</v>
      </c>
      <c r="J297" s="96"/>
    </row>
    <row r="298" spans="1:10" x14ac:dyDescent="0.2">
      <c r="A298" s="123" t="s">
        <v>101</v>
      </c>
      <c r="B298" s="110">
        <f t="shared" si="82"/>
        <v>40087</v>
      </c>
      <c r="C298" s="110">
        <v>40178</v>
      </c>
      <c r="D298" s="111">
        <f t="shared" si="83"/>
        <v>92</v>
      </c>
      <c r="E298" s="111">
        <f>E297</f>
        <v>3.25</v>
      </c>
      <c r="F298" s="131">
        <f>F$269+G$281-SUM(H$280:H297)-SUM(I$280:I297)</f>
        <v>583.38953422409293</v>
      </c>
      <c r="G298" s="114">
        <f t="shared" si="86"/>
        <v>4.7789991981644881</v>
      </c>
      <c r="H298" s="114">
        <f t="shared" si="84"/>
        <v>170.35</v>
      </c>
      <c r="I298" s="115">
        <f t="shared" si="85"/>
        <v>24.11317807469748</v>
      </c>
      <c r="J298" s="96"/>
    </row>
    <row r="299" spans="1:10" x14ac:dyDescent="0.2">
      <c r="A299" s="123" t="s">
        <v>112</v>
      </c>
      <c r="B299" s="110">
        <f t="shared" si="82"/>
        <v>40179</v>
      </c>
      <c r="C299" s="110">
        <v>40268</v>
      </c>
      <c r="D299" s="111">
        <f t="shared" si="83"/>
        <v>90</v>
      </c>
      <c r="E299" s="111">
        <f>E298</f>
        <v>3.25</v>
      </c>
      <c r="F299" s="131">
        <f>F$269+G$281-SUM(H$280:H298)-SUM(I$280:I298)</f>
        <v>388.92635614939553</v>
      </c>
      <c r="G299" s="114">
        <f t="shared" si="86"/>
        <v>3.1167386074985806</v>
      </c>
      <c r="H299" s="114">
        <f t="shared" si="84"/>
        <v>170.35</v>
      </c>
      <c r="I299" s="115">
        <f t="shared" si="85"/>
        <v>24.11317807469748</v>
      </c>
      <c r="J299" s="96"/>
    </row>
    <row r="300" spans="1:10" x14ac:dyDescent="0.2">
      <c r="A300" s="123" t="s">
        <v>113</v>
      </c>
      <c r="B300" s="110">
        <f t="shared" si="82"/>
        <v>40269</v>
      </c>
      <c r="C300" s="110">
        <v>40359</v>
      </c>
      <c r="D300" s="111">
        <f t="shared" si="83"/>
        <v>91</v>
      </c>
      <c r="E300" s="111">
        <f>E299</f>
        <v>3.25</v>
      </c>
      <c r="F300" s="131">
        <f>F$269+G$281-SUM(H$280:H299)-SUM(I$280:I299)</f>
        <v>194.46317807469813</v>
      </c>
      <c r="G300" s="114">
        <f t="shared" si="86"/>
        <v>1.5756845182353965</v>
      </c>
      <c r="H300" s="114">
        <f t="shared" si="84"/>
        <v>170.35</v>
      </c>
      <c r="I300" s="115">
        <f t="shared" si="85"/>
        <v>24.11317807469748</v>
      </c>
      <c r="J300" s="96"/>
    </row>
    <row r="301" spans="1:10" x14ac:dyDescent="0.2">
      <c r="A301" s="124" t="s">
        <v>114</v>
      </c>
      <c r="B301" s="125">
        <f t="shared" si="82"/>
        <v>40360</v>
      </c>
      <c r="C301" s="125">
        <v>40451</v>
      </c>
      <c r="D301" s="126">
        <f t="shared" si="83"/>
        <v>92</v>
      </c>
      <c r="E301" s="126">
        <f>E300</f>
        <v>3.25</v>
      </c>
      <c r="F301" s="132">
        <f>F$269+G$281-SUM(H$280:H300)-SUM(I$280:I300)</f>
        <v>7.3896444519050419E-13</v>
      </c>
      <c r="G301" s="127">
        <f t="shared" si="86"/>
        <v>6.0534347701907065E-15</v>
      </c>
      <c r="H301" s="127">
        <v>0</v>
      </c>
      <c r="I301" s="128">
        <v>0</v>
      </c>
      <c r="J301" s="96"/>
    </row>
    <row r="303" spans="1:10" x14ac:dyDescent="0.2">
      <c r="A303" s="387" t="s">
        <v>57</v>
      </c>
      <c r="B303" s="388"/>
      <c r="C303" s="388"/>
      <c r="D303" s="388"/>
      <c r="E303" s="388"/>
      <c r="F303" s="388"/>
      <c r="G303" s="388"/>
      <c r="H303" s="388"/>
      <c r="I303" s="388"/>
      <c r="J303" s="389"/>
    </row>
    <row r="304" spans="1:10" x14ac:dyDescent="0.2">
      <c r="A304" s="30" t="s">
        <v>10</v>
      </c>
      <c r="B304" s="30" t="s">
        <v>11</v>
      </c>
      <c r="C304" s="30" t="s">
        <v>12</v>
      </c>
      <c r="D304" s="30" t="s">
        <v>13</v>
      </c>
      <c r="E304" s="30" t="s">
        <v>14</v>
      </c>
      <c r="F304" s="30" t="s">
        <v>15</v>
      </c>
      <c r="G304" s="30" t="s">
        <v>16</v>
      </c>
      <c r="H304" s="30"/>
      <c r="I304" s="30"/>
      <c r="J304" s="30" t="s">
        <v>17</v>
      </c>
    </row>
    <row r="305" spans="1:10" ht="51" x14ac:dyDescent="0.2">
      <c r="A305" s="70" t="s">
        <v>18</v>
      </c>
      <c r="B305" s="70" t="s">
        <v>19</v>
      </c>
      <c r="C305" s="70" t="s">
        <v>20</v>
      </c>
      <c r="D305" s="70" t="s">
        <v>21</v>
      </c>
      <c r="E305" s="70" t="s">
        <v>22</v>
      </c>
      <c r="F305" s="70" t="s">
        <v>23</v>
      </c>
      <c r="G305" s="6" t="s">
        <v>130</v>
      </c>
      <c r="H305" s="6" t="s">
        <v>37</v>
      </c>
      <c r="I305" s="6" t="s">
        <v>131</v>
      </c>
      <c r="J305" s="70" t="s">
        <v>25</v>
      </c>
    </row>
    <row r="306" spans="1:10" x14ac:dyDescent="0.2">
      <c r="A306" s="102" t="s">
        <v>48</v>
      </c>
      <c r="B306" s="103">
        <f>B21</f>
        <v>37575</v>
      </c>
      <c r="C306" s="103">
        <v>37621</v>
      </c>
      <c r="D306" s="104">
        <f t="shared" ref="D306:D317" si="87">+C306-B306+1</f>
        <v>47</v>
      </c>
      <c r="E306" s="105">
        <v>4.75</v>
      </c>
      <c r="F306" s="106">
        <f>E21</f>
        <v>164610</v>
      </c>
      <c r="G306" s="107">
        <f>+D306/365*E306/100*F306</f>
        <v>1006.826917808219</v>
      </c>
      <c r="H306" s="107"/>
      <c r="I306" s="108"/>
      <c r="J306" s="142">
        <f>F306+G306</f>
        <v>165616.82691780821</v>
      </c>
    </row>
    <row r="307" spans="1:10" x14ac:dyDescent="0.2">
      <c r="A307" s="109" t="s">
        <v>26</v>
      </c>
      <c r="B307" s="110">
        <v>37622</v>
      </c>
      <c r="C307" s="110">
        <v>37711</v>
      </c>
      <c r="D307" s="111">
        <f t="shared" si="87"/>
        <v>90</v>
      </c>
      <c r="E307" s="112">
        <v>4.62</v>
      </c>
      <c r="F307" s="113">
        <f t="shared" ref="F307:F317" si="88">+J306</f>
        <v>165616.82691780821</v>
      </c>
      <c r="G307" s="114">
        <f>+D307/365*E307/100*F307</f>
        <v>1886.6705926691684</v>
      </c>
      <c r="H307" s="114"/>
      <c r="I307" s="115"/>
      <c r="J307" s="129">
        <f>+J306+G307</f>
        <v>167503.49751047738</v>
      </c>
    </row>
    <row r="308" spans="1:10" x14ac:dyDescent="0.2">
      <c r="A308" s="109" t="s">
        <v>27</v>
      </c>
      <c r="B308" s="110">
        <v>37712</v>
      </c>
      <c r="C308" s="110">
        <v>37802</v>
      </c>
      <c r="D308" s="111">
        <f t="shared" si="87"/>
        <v>91</v>
      </c>
      <c r="E308" s="112">
        <v>4.25</v>
      </c>
      <c r="F308" s="113">
        <f t="shared" si="88"/>
        <v>167503.49751047738</v>
      </c>
      <c r="G308" s="114">
        <f>+D308/365*E308/100*F308</f>
        <v>1774.8487030733459</v>
      </c>
      <c r="H308" s="114"/>
      <c r="I308" s="115"/>
      <c r="J308" s="129">
        <f>+J307+G308</f>
        <v>169278.34621355071</v>
      </c>
    </row>
    <row r="309" spans="1:10" x14ac:dyDescent="0.2">
      <c r="A309" s="109" t="s">
        <v>28</v>
      </c>
      <c r="B309" s="110">
        <v>37803</v>
      </c>
      <c r="C309" s="110">
        <v>37894</v>
      </c>
      <c r="D309" s="111">
        <f t="shared" si="87"/>
        <v>92</v>
      </c>
      <c r="E309" s="112">
        <v>4.25</v>
      </c>
      <c r="F309" s="113">
        <f t="shared" si="88"/>
        <v>169278.34621355071</v>
      </c>
      <c r="G309" s="114">
        <f>+D309/365*E309/100*F309</f>
        <v>1813.3652977944748</v>
      </c>
      <c r="H309" s="114"/>
      <c r="I309" s="115"/>
      <c r="J309" s="129">
        <f>+J308+G309</f>
        <v>171091.7115113452</v>
      </c>
    </row>
    <row r="310" spans="1:10" x14ac:dyDescent="0.2">
      <c r="A310" s="109" t="s">
        <v>29</v>
      </c>
      <c r="B310" s="110">
        <v>37895</v>
      </c>
      <c r="C310" s="110">
        <v>37986</v>
      </c>
      <c r="D310" s="111">
        <f t="shared" si="87"/>
        <v>92</v>
      </c>
      <c r="E310" s="112">
        <v>4.07</v>
      </c>
      <c r="F310" s="113">
        <f t="shared" si="88"/>
        <v>171091.7115113452</v>
      </c>
      <c r="G310" s="114">
        <f>+D310/365*E310/100*F310</f>
        <v>1755.1665878988522</v>
      </c>
      <c r="H310" s="114"/>
      <c r="I310" s="115"/>
      <c r="J310" s="129">
        <f>+F310+G310</f>
        <v>172846.87809924406</v>
      </c>
    </row>
    <row r="311" spans="1:10" x14ac:dyDescent="0.2">
      <c r="A311" s="109" t="s">
        <v>30</v>
      </c>
      <c r="B311" s="110">
        <v>37987</v>
      </c>
      <c r="C311" s="110">
        <v>38077</v>
      </c>
      <c r="D311" s="111">
        <f t="shared" si="87"/>
        <v>91</v>
      </c>
      <c r="E311" s="112">
        <v>4</v>
      </c>
      <c r="F311" s="113">
        <f t="shared" si="88"/>
        <v>172846.87809924406</v>
      </c>
      <c r="G311" s="114">
        <f>+D311/366*E311/100*F311</f>
        <v>1719.0235963968535</v>
      </c>
      <c r="H311" s="114"/>
      <c r="I311" s="115"/>
      <c r="J311" s="129">
        <f t="shared" ref="J311:J317" si="89">+F311+G311</f>
        <v>174565.9016956409</v>
      </c>
    </row>
    <row r="312" spans="1:10" x14ac:dyDescent="0.2">
      <c r="A312" s="109" t="s">
        <v>44</v>
      </c>
      <c r="B312" s="110">
        <v>38078</v>
      </c>
      <c r="C312" s="110">
        <v>38168</v>
      </c>
      <c r="D312" s="111">
        <f t="shared" si="87"/>
        <v>91</v>
      </c>
      <c r="E312" s="112">
        <v>4</v>
      </c>
      <c r="F312" s="113">
        <f t="shared" si="88"/>
        <v>174565.9016956409</v>
      </c>
      <c r="G312" s="114">
        <f>+D312/366*E312/100*F312</f>
        <v>1736.1198966451718</v>
      </c>
      <c r="H312" s="114"/>
      <c r="I312" s="115"/>
      <c r="J312" s="129">
        <f t="shared" si="89"/>
        <v>176302.02159228607</v>
      </c>
    </row>
    <row r="313" spans="1:10" x14ac:dyDescent="0.2">
      <c r="A313" s="109" t="s">
        <v>41</v>
      </c>
      <c r="B313" s="110">
        <v>38169</v>
      </c>
      <c r="C313" s="110">
        <v>38260</v>
      </c>
      <c r="D313" s="111">
        <f t="shared" si="87"/>
        <v>92</v>
      </c>
      <c r="E313" s="112">
        <v>4</v>
      </c>
      <c r="F313" s="113">
        <f t="shared" si="88"/>
        <v>176302.02159228607</v>
      </c>
      <c r="G313" s="114">
        <f>+D313/366*E313/100*F313</f>
        <v>1772.6542061738053</v>
      </c>
      <c r="H313" s="114"/>
      <c r="I313" s="115"/>
      <c r="J313" s="129">
        <f t="shared" si="89"/>
        <v>178074.67579845988</v>
      </c>
    </row>
    <row r="314" spans="1:10" x14ac:dyDescent="0.2">
      <c r="A314" s="109" t="s">
        <v>45</v>
      </c>
      <c r="B314" s="110">
        <v>38261</v>
      </c>
      <c r="C314" s="110">
        <v>38352</v>
      </c>
      <c r="D314" s="111">
        <f t="shared" si="87"/>
        <v>92</v>
      </c>
      <c r="E314" s="112">
        <v>4.22</v>
      </c>
      <c r="F314" s="113">
        <f t="shared" si="88"/>
        <v>178074.67579845988</v>
      </c>
      <c r="G314" s="114">
        <f>+D314/366*E314/100*F314</f>
        <v>1888.9538833878159</v>
      </c>
      <c r="H314" s="114"/>
      <c r="I314" s="115"/>
      <c r="J314" s="129">
        <f t="shared" si="89"/>
        <v>179963.6296818477</v>
      </c>
    </row>
    <row r="315" spans="1:10" x14ac:dyDescent="0.2">
      <c r="A315" s="109" t="s">
        <v>43</v>
      </c>
      <c r="B315" s="110">
        <v>38353</v>
      </c>
      <c r="C315" s="110">
        <v>38442</v>
      </c>
      <c r="D315" s="111">
        <f t="shared" si="87"/>
        <v>90</v>
      </c>
      <c r="E315" s="112">
        <v>4.75</v>
      </c>
      <c r="F315" s="113">
        <f t="shared" si="88"/>
        <v>179963.6296818477</v>
      </c>
      <c r="G315" s="114">
        <f>+D315/365*E315/100*F315</f>
        <v>2107.793196958627</v>
      </c>
      <c r="H315" s="114"/>
      <c r="I315" s="115"/>
      <c r="J315" s="129">
        <f t="shared" si="89"/>
        <v>182071.42287880633</v>
      </c>
    </row>
    <row r="316" spans="1:10" x14ac:dyDescent="0.2">
      <c r="A316" s="109" t="s">
        <v>40</v>
      </c>
      <c r="B316" s="110">
        <v>38443</v>
      </c>
      <c r="C316" s="110">
        <v>38533</v>
      </c>
      <c r="D316" s="111">
        <f t="shared" si="87"/>
        <v>91</v>
      </c>
      <c r="E316" s="112">
        <v>5.3</v>
      </c>
      <c r="F316" s="113">
        <f t="shared" si="88"/>
        <v>182071.42287880633</v>
      </c>
      <c r="G316" s="114">
        <f>+D316/365*E316/100*F316</f>
        <v>2405.8369110807748</v>
      </c>
      <c r="H316" s="114"/>
      <c r="I316" s="115"/>
      <c r="J316" s="129">
        <f t="shared" si="89"/>
        <v>184477.25978988712</v>
      </c>
    </row>
    <row r="317" spans="1:10" x14ac:dyDescent="0.2">
      <c r="A317" s="109" t="s">
        <v>42</v>
      </c>
      <c r="B317" s="110">
        <v>38534</v>
      </c>
      <c r="C317" s="110">
        <v>38625</v>
      </c>
      <c r="D317" s="111">
        <f t="shared" si="87"/>
        <v>92</v>
      </c>
      <c r="E317" s="112">
        <v>5.77</v>
      </c>
      <c r="F317" s="113">
        <f t="shared" si="88"/>
        <v>184477.25978988712</v>
      </c>
      <c r="G317" s="114">
        <f>+D317/365*E317/100*F317</f>
        <v>2682.9563996401007</v>
      </c>
      <c r="H317" s="114">
        <f>F$306/20</f>
        <v>8230.5</v>
      </c>
      <c r="I317" s="115">
        <f>G$318/20</f>
        <v>1127.5108094763605</v>
      </c>
      <c r="J317" s="129">
        <f t="shared" si="89"/>
        <v>187160.21618952721</v>
      </c>
    </row>
    <row r="318" spans="1:10" x14ac:dyDescent="0.2">
      <c r="A318" s="117"/>
      <c r="B318" s="118"/>
      <c r="C318" s="118"/>
      <c r="D318" s="130"/>
      <c r="E318" s="393" t="s">
        <v>132</v>
      </c>
      <c r="F318" s="394"/>
      <c r="G318" s="120">
        <f>SUM(G306:G317)</f>
        <v>22550.216189527211</v>
      </c>
      <c r="H318" s="120"/>
      <c r="I318" s="121"/>
      <c r="J318" s="135"/>
    </row>
    <row r="319" spans="1:10" x14ac:dyDescent="0.2">
      <c r="A319" s="123" t="s">
        <v>36</v>
      </c>
      <c r="B319" s="110">
        <v>38626</v>
      </c>
      <c r="C319" s="110">
        <v>38717</v>
      </c>
      <c r="D319" s="111">
        <f>+C319-B319+1</f>
        <v>92</v>
      </c>
      <c r="E319" s="122">
        <v>6.23</v>
      </c>
      <c r="F319" s="131">
        <f>F$306+G$318-SUM(H$317:H318)-SUM(I$317:I318)</f>
        <v>177802.20538005084</v>
      </c>
      <c r="G319" s="114">
        <f>+D319/365*E319/100*F319</f>
        <v>2792.0304667295877</v>
      </c>
      <c r="H319" s="114">
        <f>F$306/20</f>
        <v>8230.5</v>
      </c>
      <c r="I319" s="116">
        <f t="shared" ref="I319:I327" si="90">G$318/20</f>
        <v>1127.5108094763605</v>
      </c>
      <c r="J319" s="134"/>
    </row>
    <row r="320" spans="1:10" x14ac:dyDescent="0.2">
      <c r="A320" s="109" t="s">
        <v>76</v>
      </c>
      <c r="B320" s="110">
        <f>C319+1</f>
        <v>38718</v>
      </c>
      <c r="C320" s="110">
        <v>38807</v>
      </c>
      <c r="D320" s="111">
        <f t="shared" ref="D320:D327" si="91">+C320-B320+1</f>
        <v>90</v>
      </c>
      <c r="E320" s="112">
        <v>6.78</v>
      </c>
      <c r="F320" s="131">
        <f>F$306+G$318-SUM(H$317:H319)-SUM(I$317:I319)</f>
        <v>168444.1945705745</v>
      </c>
      <c r="G320" s="114">
        <f t="shared" ref="G320:G327" si="92">+D320/365*E320/100*F320</f>
        <v>2816.017740464782</v>
      </c>
      <c r="H320" s="114">
        <f t="shared" ref="H320:H327" si="93">F$306/20</f>
        <v>8230.5</v>
      </c>
      <c r="I320" s="116">
        <f t="shared" si="90"/>
        <v>1127.5108094763605</v>
      </c>
      <c r="J320" s="134"/>
    </row>
    <row r="321" spans="1:10" x14ac:dyDescent="0.2">
      <c r="A321" s="109" t="s">
        <v>77</v>
      </c>
      <c r="B321" s="110">
        <f t="shared" ref="B321:B338" si="94">C320+1</f>
        <v>38808</v>
      </c>
      <c r="C321" s="110">
        <v>38898</v>
      </c>
      <c r="D321" s="111">
        <f t="shared" si="91"/>
        <v>91</v>
      </c>
      <c r="E321" s="112">
        <v>7.3</v>
      </c>
      <c r="F321" s="131">
        <f>F$306+G$318-SUM(H$317:H320)-SUM(I$317:I320)</f>
        <v>159086.18376109813</v>
      </c>
      <c r="G321" s="114">
        <f t="shared" si="92"/>
        <v>2895.3685444519861</v>
      </c>
      <c r="H321" s="114">
        <f t="shared" si="93"/>
        <v>8230.5</v>
      </c>
      <c r="I321" s="116">
        <f t="shared" si="90"/>
        <v>1127.5108094763605</v>
      </c>
      <c r="J321" s="134"/>
    </row>
    <row r="322" spans="1:10" x14ac:dyDescent="0.2">
      <c r="A322" s="109" t="s">
        <v>78</v>
      </c>
      <c r="B322" s="110">
        <f t="shared" si="94"/>
        <v>38899</v>
      </c>
      <c r="C322" s="110">
        <v>38990</v>
      </c>
      <c r="D322" s="111">
        <f t="shared" si="91"/>
        <v>92</v>
      </c>
      <c r="E322" s="111">
        <v>7.74</v>
      </c>
      <c r="F322" s="131">
        <f>F$306+G$318-SUM(H$317:H321)-SUM(I$317:I321)</f>
        <v>149728.17295162176</v>
      </c>
      <c r="G322" s="114">
        <f t="shared" si="92"/>
        <v>2921.0530793257767</v>
      </c>
      <c r="H322" s="114">
        <f t="shared" si="93"/>
        <v>8230.5</v>
      </c>
      <c r="I322" s="116">
        <f t="shared" si="90"/>
        <v>1127.5108094763605</v>
      </c>
      <c r="J322" s="134"/>
    </row>
    <row r="323" spans="1:10" x14ac:dyDescent="0.2">
      <c r="A323" s="109" t="s">
        <v>79</v>
      </c>
      <c r="B323" s="110">
        <f t="shared" si="94"/>
        <v>38991</v>
      </c>
      <c r="C323" s="110">
        <v>39082</v>
      </c>
      <c r="D323" s="111">
        <f t="shared" si="91"/>
        <v>92</v>
      </c>
      <c r="E323" s="111">
        <v>8.17</v>
      </c>
      <c r="F323" s="131">
        <f>F$306+G$318-SUM(H$317:H322)-SUM(I$317:I322)</f>
        <v>140370.16214214542</v>
      </c>
      <c r="G323" s="114">
        <f t="shared" si="92"/>
        <v>2890.6254430827998</v>
      </c>
      <c r="H323" s="114">
        <f t="shared" si="93"/>
        <v>8230.5</v>
      </c>
      <c r="I323" s="116">
        <f t="shared" si="90"/>
        <v>1127.5108094763605</v>
      </c>
      <c r="J323" s="134"/>
    </row>
    <row r="324" spans="1:10" x14ac:dyDescent="0.2">
      <c r="A324" s="109" t="s">
        <v>80</v>
      </c>
      <c r="B324" s="110">
        <f t="shared" si="94"/>
        <v>39083</v>
      </c>
      <c r="C324" s="110">
        <v>39172</v>
      </c>
      <c r="D324" s="111">
        <f t="shared" si="91"/>
        <v>90</v>
      </c>
      <c r="E324" s="111">
        <v>8.25</v>
      </c>
      <c r="F324" s="131">
        <f>F$306+G$318-SUM(H$317:H323)-SUM(I$317:I323)</f>
        <v>131012.15133266905</v>
      </c>
      <c r="G324" s="114">
        <f t="shared" si="92"/>
        <v>2665.1102017673084</v>
      </c>
      <c r="H324" s="114">
        <f t="shared" si="93"/>
        <v>8230.5</v>
      </c>
      <c r="I324" s="116">
        <f t="shared" si="90"/>
        <v>1127.5108094763605</v>
      </c>
      <c r="J324" s="134"/>
    </row>
    <row r="325" spans="1:10" x14ac:dyDescent="0.2">
      <c r="A325" s="109" t="s">
        <v>81</v>
      </c>
      <c r="B325" s="110">
        <f t="shared" si="94"/>
        <v>39173</v>
      </c>
      <c r="C325" s="110">
        <v>39263</v>
      </c>
      <c r="D325" s="111">
        <f t="shared" si="91"/>
        <v>91</v>
      </c>
      <c r="E325" s="111">
        <v>8.25</v>
      </c>
      <c r="F325" s="131">
        <f>F$306+G$318-SUM(H$317:H324)-SUM(I$317:I324)</f>
        <v>121654.14052319269</v>
      </c>
      <c r="G325" s="114">
        <f t="shared" si="92"/>
        <v>2502.2423561037513</v>
      </c>
      <c r="H325" s="114">
        <f t="shared" si="93"/>
        <v>8230.5</v>
      </c>
      <c r="I325" s="116">
        <f t="shared" si="90"/>
        <v>1127.5108094763605</v>
      </c>
      <c r="J325" s="134"/>
    </row>
    <row r="326" spans="1:10" x14ac:dyDescent="0.2">
      <c r="A326" s="109" t="s">
        <v>82</v>
      </c>
      <c r="B326" s="110">
        <f t="shared" si="94"/>
        <v>39264</v>
      </c>
      <c r="C326" s="110">
        <v>39355</v>
      </c>
      <c r="D326" s="111">
        <f t="shared" si="91"/>
        <v>92</v>
      </c>
      <c r="E326" s="111">
        <v>8.25</v>
      </c>
      <c r="F326" s="131">
        <f>F$306+G$318-SUM(H$317:H325)-SUM(I$317:I325)</f>
        <v>112296.12971371633</v>
      </c>
      <c r="G326" s="114">
        <f t="shared" si="92"/>
        <v>2335.1441767865945</v>
      </c>
      <c r="H326" s="114">
        <f t="shared" si="93"/>
        <v>8230.5</v>
      </c>
      <c r="I326" s="116">
        <f t="shared" si="90"/>
        <v>1127.5108094763605</v>
      </c>
      <c r="J326" s="134"/>
    </row>
    <row r="327" spans="1:10" x14ac:dyDescent="0.2">
      <c r="A327" s="123" t="s">
        <v>83</v>
      </c>
      <c r="B327" s="110">
        <f t="shared" si="94"/>
        <v>39356</v>
      </c>
      <c r="C327" s="110">
        <v>39447</v>
      </c>
      <c r="D327" s="111">
        <f t="shared" si="91"/>
        <v>92</v>
      </c>
      <c r="E327" s="111">
        <v>8.25</v>
      </c>
      <c r="F327" s="131">
        <f>F$306+G$318-SUM(H$317:H326)-SUM(I$317:I326)</f>
        <v>102938.11890423998</v>
      </c>
      <c r="G327" s="114">
        <f t="shared" si="92"/>
        <v>2140.5488287210451</v>
      </c>
      <c r="H327" s="114">
        <f t="shared" si="93"/>
        <v>8230.5</v>
      </c>
      <c r="I327" s="116">
        <f t="shared" si="90"/>
        <v>1127.5108094763605</v>
      </c>
      <c r="J327" s="134"/>
    </row>
    <row r="328" spans="1:10" x14ac:dyDescent="0.2">
      <c r="A328" s="123" t="s">
        <v>105</v>
      </c>
      <c r="B328" s="110">
        <f t="shared" si="94"/>
        <v>39448</v>
      </c>
      <c r="C328" s="110">
        <v>39538</v>
      </c>
      <c r="D328" s="111">
        <f t="shared" ref="D328:D338" si="95">+C328-B328+1</f>
        <v>91</v>
      </c>
      <c r="E328" s="111">
        <v>7.76</v>
      </c>
      <c r="F328" s="131">
        <f>F$306+G$318-SUM(H$317:H327)-SUM(I$317:I327)</f>
        <v>93580.108094763607</v>
      </c>
      <c r="G328" s="114">
        <f>+D328/366*E328/100*F328</f>
        <v>1805.5335828469474</v>
      </c>
      <c r="H328" s="114">
        <f t="shared" ref="H328:H337" si="96">F$306/20</f>
        <v>8230.5</v>
      </c>
      <c r="I328" s="115">
        <f t="shared" ref="I328:I337" si="97">G$318/20</f>
        <v>1127.5108094763605</v>
      </c>
      <c r="J328" s="96"/>
    </row>
    <row r="329" spans="1:10" x14ac:dyDescent="0.2">
      <c r="A329" s="123" t="s">
        <v>106</v>
      </c>
      <c r="B329" s="110">
        <f t="shared" si="94"/>
        <v>39539</v>
      </c>
      <c r="C329" s="110">
        <v>39629</v>
      </c>
      <c r="D329" s="111">
        <f t="shared" si="95"/>
        <v>91</v>
      </c>
      <c r="E329" s="111">
        <v>6.77</v>
      </c>
      <c r="F329" s="131">
        <f>F$306+G$318-SUM(H$317:H328)-SUM(I$317:I328)</f>
        <v>84222.097285287251</v>
      </c>
      <c r="G329" s="114">
        <f>+D329/366*E329/100*F329</f>
        <v>1417.669603129697</v>
      </c>
      <c r="H329" s="114">
        <f t="shared" si="96"/>
        <v>8230.5</v>
      </c>
      <c r="I329" s="115">
        <f t="shared" si="97"/>
        <v>1127.5108094763605</v>
      </c>
      <c r="J329" s="96"/>
    </row>
    <row r="330" spans="1:10" x14ac:dyDescent="0.2">
      <c r="A330" s="123" t="s">
        <v>107</v>
      </c>
      <c r="B330" s="110">
        <f t="shared" si="94"/>
        <v>39630</v>
      </c>
      <c r="C330" s="110">
        <v>39721</v>
      </c>
      <c r="D330" s="111">
        <f t="shared" si="95"/>
        <v>92</v>
      </c>
      <c r="E330" s="111">
        <v>5.3</v>
      </c>
      <c r="F330" s="131">
        <f>F$306+G$318-SUM(H$317:H329)-SUM(I$317:I329)</f>
        <v>74864.086475810895</v>
      </c>
      <c r="G330" s="114">
        <f>+D330/366*E330/100*F330</f>
        <v>997.36963294003806</v>
      </c>
      <c r="H330" s="114">
        <f t="shared" si="96"/>
        <v>8230.5</v>
      </c>
      <c r="I330" s="115">
        <f t="shared" si="97"/>
        <v>1127.5108094763605</v>
      </c>
      <c r="J330" s="96"/>
    </row>
    <row r="331" spans="1:10" x14ac:dyDescent="0.2">
      <c r="A331" s="123" t="s">
        <v>100</v>
      </c>
      <c r="B331" s="110">
        <f t="shared" si="94"/>
        <v>39722</v>
      </c>
      <c r="C331" s="110">
        <v>39813</v>
      </c>
      <c r="D331" s="111">
        <f t="shared" si="95"/>
        <v>92</v>
      </c>
      <c r="E331" s="111">
        <v>5</v>
      </c>
      <c r="F331" s="131">
        <f>F$306+G$318-SUM(H$317:H330)-SUM(I$317:I330)</f>
        <v>65506.075666334531</v>
      </c>
      <c r="G331" s="114">
        <f>+D331/366*E331/100*F331</f>
        <v>823.30040454955974</v>
      </c>
      <c r="H331" s="114">
        <f t="shared" si="96"/>
        <v>8230.5</v>
      </c>
      <c r="I331" s="115">
        <f t="shared" si="97"/>
        <v>1127.5108094763605</v>
      </c>
      <c r="J331" s="96"/>
    </row>
    <row r="332" spans="1:10" x14ac:dyDescent="0.2">
      <c r="A332" s="123" t="s">
        <v>108</v>
      </c>
      <c r="B332" s="110">
        <f t="shared" si="94"/>
        <v>39814</v>
      </c>
      <c r="C332" s="110">
        <v>39903</v>
      </c>
      <c r="D332" s="111">
        <f t="shared" si="95"/>
        <v>90</v>
      </c>
      <c r="E332" s="111">
        <v>4.5199999999999996</v>
      </c>
      <c r="F332" s="131">
        <f>F$306+G$318-SUM(H$317:H331)-SUM(I$317:I331)</f>
        <v>56148.064856858175</v>
      </c>
      <c r="G332" s="114">
        <f t="shared" ref="G332:G338" si="98">+D332/365*E332/100*F332</f>
        <v>625.78172010328501</v>
      </c>
      <c r="H332" s="114">
        <f t="shared" si="96"/>
        <v>8230.5</v>
      </c>
      <c r="I332" s="115">
        <f t="shared" si="97"/>
        <v>1127.5108094763605</v>
      </c>
      <c r="J332" s="96"/>
    </row>
    <row r="333" spans="1:10" x14ac:dyDescent="0.2">
      <c r="A333" s="123" t="s">
        <v>109</v>
      </c>
      <c r="B333" s="110">
        <f t="shared" si="94"/>
        <v>39904</v>
      </c>
      <c r="C333" s="110">
        <v>39994</v>
      </c>
      <c r="D333" s="111">
        <f t="shared" si="95"/>
        <v>91</v>
      </c>
      <c r="E333" s="111">
        <v>3.37</v>
      </c>
      <c r="F333" s="131">
        <f>F$306+G$318-SUM(H$317:H332)-SUM(I$317:I332)</f>
        <v>46790.054047381811</v>
      </c>
      <c r="G333" s="114">
        <f t="shared" si="98"/>
        <v>393.12618834823502</v>
      </c>
      <c r="H333" s="114">
        <f t="shared" si="96"/>
        <v>8230.5</v>
      </c>
      <c r="I333" s="115">
        <f t="shared" si="97"/>
        <v>1127.5108094763605</v>
      </c>
      <c r="J333" s="96"/>
    </row>
    <row r="334" spans="1:10" x14ac:dyDescent="0.2">
      <c r="A334" s="123" t="s">
        <v>111</v>
      </c>
      <c r="B334" s="110">
        <f t="shared" si="94"/>
        <v>39995</v>
      </c>
      <c r="C334" s="110">
        <v>40086</v>
      </c>
      <c r="D334" s="111">
        <f t="shared" si="95"/>
        <v>92</v>
      </c>
      <c r="E334" s="111">
        <v>3.25</v>
      </c>
      <c r="F334" s="131">
        <f>F$306+G$318-SUM(H$317:H333)-SUM(I$317:I333)</f>
        <v>37432.043237905455</v>
      </c>
      <c r="G334" s="114">
        <f t="shared" si="98"/>
        <v>306.63509392147211</v>
      </c>
      <c r="H334" s="114">
        <f t="shared" si="96"/>
        <v>8230.5</v>
      </c>
      <c r="I334" s="115">
        <f t="shared" si="97"/>
        <v>1127.5108094763605</v>
      </c>
      <c r="J334" s="96"/>
    </row>
    <row r="335" spans="1:10" x14ac:dyDescent="0.2">
      <c r="A335" s="123" t="s">
        <v>101</v>
      </c>
      <c r="B335" s="110">
        <f t="shared" si="94"/>
        <v>40087</v>
      </c>
      <c r="C335" s="110">
        <v>40178</v>
      </c>
      <c r="D335" s="111">
        <f t="shared" si="95"/>
        <v>92</v>
      </c>
      <c r="E335" s="111">
        <f>E334</f>
        <v>3.25</v>
      </c>
      <c r="F335" s="131">
        <f>F$306+G$318-SUM(H$317:H334)-SUM(I$317:I334)</f>
        <v>28074.032428429091</v>
      </c>
      <c r="G335" s="114">
        <f t="shared" si="98"/>
        <v>229.97632044110409</v>
      </c>
      <c r="H335" s="114">
        <f t="shared" si="96"/>
        <v>8230.5</v>
      </c>
      <c r="I335" s="115">
        <f t="shared" si="97"/>
        <v>1127.5108094763605</v>
      </c>
      <c r="J335" s="96"/>
    </row>
    <row r="336" spans="1:10" x14ac:dyDescent="0.2">
      <c r="A336" s="123" t="s">
        <v>112</v>
      </c>
      <c r="B336" s="110">
        <f t="shared" si="94"/>
        <v>40179</v>
      </c>
      <c r="C336" s="110">
        <v>40268</v>
      </c>
      <c r="D336" s="111">
        <f t="shared" si="95"/>
        <v>90</v>
      </c>
      <c r="E336" s="111">
        <f>E335</f>
        <v>3.25</v>
      </c>
      <c r="F336" s="131">
        <f>F$306+G$318-SUM(H$317:H335)-SUM(I$317:I335)</f>
        <v>18716.021618952731</v>
      </c>
      <c r="G336" s="114">
        <f t="shared" si="98"/>
        <v>149.98455680941572</v>
      </c>
      <c r="H336" s="114">
        <f t="shared" si="96"/>
        <v>8230.5</v>
      </c>
      <c r="I336" s="115">
        <f t="shared" si="97"/>
        <v>1127.5108094763605</v>
      </c>
      <c r="J336" s="96"/>
    </row>
    <row r="337" spans="1:10" x14ac:dyDescent="0.2">
      <c r="A337" s="123" t="s">
        <v>113</v>
      </c>
      <c r="B337" s="110">
        <f t="shared" si="94"/>
        <v>40269</v>
      </c>
      <c r="C337" s="110">
        <v>40359</v>
      </c>
      <c r="D337" s="111">
        <f t="shared" si="95"/>
        <v>91</v>
      </c>
      <c r="E337" s="111">
        <f>E336</f>
        <v>3.25</v>
      </c>
      <c r="F337" s="131">
        <f>F$306+G$318-SUM(H$317:H336)-SUM(I$317:I336)</f>
        <v>9358.0108094763709</v>
      </c>
      <c r="G337" s="114">
        <f t="shared" si="98"/>
        <v>75.825525942537993</v>
      </c>
      <c r="H337" s="114">
        <f t="shared" si="96"/>
        <v>8230.5</v>
      </c>
      <c r="I337" s="115">
        <f t="shared" si="97"/>
        <v>1127.5108094763605</v>
      </c>
      <c r="J337" s="96"/>
    </row>
    <row r="338" spans="1:10" x14ac:dyDescent="0.2">
      <c r="A338" s="124" t="s">
        <v>114</v>
      </c>
      <c r="B338" s="125">
        <f t="shared" si="94"/>
        <v>40360</v>
      </c>
      <c r="C338" s="125">
        <v>40451</v>
      </c>
      <c r="D338" s="126">
        <f t="shared" si="95"/>
        <v>92</v>
      </c>
      <c r="E338" s="126">
        <f>E337</f>
        <v>3.25</v>
      </c>
      <c r="F338" s="133">
        <f>F$306+G$318-SUM(H$317:H337)-SUM(I$317:I337)</f>
        <v>0</v>
      </c>
      <c r="G338" s="127">
        <f t="shared" si="98"/>
        <v>0</v>
      </c>
      <c r="H338" s="127">
        <v>0</v>
      </c>
      <c r="I338" s="128">
        <v>0</v>
      </c>
      <c r="J338" s="96"/>
    </row>
    <row r="339" spans="1:10" x14ac:dyDescent="0.2">
      <c r="A339" s="23"/>
      <c r="B339" s="49"/>
      <c r="C339" s="49"/>
      <c r="D339" s="23"/>
      <c r="E339" s="94"/>
      <c r="F339" s="54"/>
      <c r="G339" s="54"/>
      <c r="H339" s="74"/>
      <c r="I339" s="74"/>
      <c r="J339" s="56"/>
    </row>
    <row r="340" spans="1:10" x14ac:dyDescent="0.2">
      <c r="A340" s="387" t="s">
        <v>70</v>
      </c>
      <c r="B340" s="388"/>
      <c r="C340" s="388"/>
      <c r="D340" s="388"/>
      <c r="E340" s="388"/>
      <c r="F340" s="388"/>
      <c r="G340" s="388"/>
      <c r="H340" s="388"/>
      <c r="I340" s="388"/>
      <c r="J340" s="389"/>
    </row>
    <row r="341" spans="1:10" x14ac:dyDescent="0.2">
      <c r="A341" s="30" t="s">
        <v>10</v>
      </c>
      <c r="B341" s="30" t="s">
        <v>11</v>
      </c>
      <c r="C341" s="30" t="s">
        <v>12</v>
      </c>
      <c r="D341" s="30" t="s">
        <v>13</v>
      </c>
      <c r="E341" s="30" t="s">
        <v>14</v>
      </c>
      <c r="F341" s="30" t="s">
        <v>15</v>
      </c>
      <c r="G341" s="30" t="s">
        <v>16</v>
      </c>
      <c r="H341" s="30"/>
      <c r="I341" s="30"/>
      <c r="J341" s="30" t="s">
        <v>17</v>
      </c>
    </row>
    <row r="342" spans="1:10" ht="51" x14ac:dyDescent="0.2">
      <c r="A342" s="70" t="s">
        <v>18</v>
      </c>
      <c r="B342" s="70" t="s">
        <v>19</v>
      </c>
      <c r="C342" s="70" t="s">
        <v>20</v>
      </c>
      <c r="D342" s="70" t="s">
        <v>21</v>
      </c>
      <c r="E342" s="70" t="s">
        <v>22</v>
      </c>
      <c r="F342" s="70" t="s">
        <v>23</v>
      </c>
      <c r="G342" s="6" t="s">
        <v>130</v>
      </c>
      <c r="H342" s="6" t="s">
        <v>37</v>
      </c>
      <c r="I342" s="6" t="s">
        <v>131</v>
      </c>
      <c r="J342" s="70" t="s">
        <v>25</v>
      </c>
    </row>
    <row r="343" spans="1:10" x14ac:dyDescent="0.2">
      <c r="A343" s="102" t="s">
        <v>44</v>
      </c>
      <c r="B343" s="103">
        <f>B24</f>
        <v>38092</v>
      </c>
      <c r="C343" s="103">
        <v>38168</v>
      </c>
      <c r="D343" s="104">
        <f t="shared" ref="D343:D348" si="99">+C343-B343+1</f>
        <v>77</v>
      </c>
      <c r="E343" s="105">
        <v>4</v>
      </c>
      <c r="F343" s="106">
        <f>E24</f>
        <v>-51595</v>
      </c>
      <c r="G343" s="107">
        <f>+D343/366*E343/100*F343</f>
        <v>-434.18743169398914</v>
      </c>
      <c r="H343" s="107"/>
      <c r="I343" s="108"/>
      <c r="J343" s="142">
        <f t="shared" ref="J343:J348" si="100">+F343+G343</f>
        <v>-52029.187431693987</v>
      </c>
    </row>
    <row r="344" spans="1:10" x14ac:dyDescent="0.2">
      <c r="A344" s="109" t="s">
        <v>41</v>
      </c>
      <c r="B344" s="110">
        <v>38169</v>
      </c>
      <c r="C344" s="110">
        <v>38260</v>
      </c>
      <c r="D344" s="111">
        <f t="shared" si="99"/>
        <v>92</v>
      </c>
      <c r="E344" s="112">
        <v>4</v>
      </c>
      <c r="F344" s="113">
        <f>+J343</f>
        <v>-52029.187431693987</v>
      </c>
      <c r="G344" s="114">
        <f>+D344/366*E344/100*F344</f>
        <v>-523.13499931320735</v>
      </c>
      <c r="H344" s="114"/>
      <c r="I344" s="115"/>
      <c r="J344" s="129">
        <f t="shared" si="100"/>
        <v>-52552.322431007196</v>
      </c>
    </row>
    <row r="345" spans="1:10" x14ac:dyDescent="0.2">
      <c r="A345" s="109" t="s">
        <v>45</v>
      </c>
      <c r="B345" s="110">
        <v>38261</v>
      </c>
      <c r="C345" s="110">
        <v>38352</v>
      </c>
      <c r="D345" s="111">
        <f t="shared" si="99"/>
        <v>92</v>
      </c>
      <c r="E345" s="112">
        <v>4.22</v>
      </c>
      <c r="F345" s="113">
        <f>+J344</f>
        <v>-52552.322431007196</v>
      </c>
      <c r="G345" s="114">
        <f>+D345/366*E345/100*F345</f>
        <v>-557.45665739383151</v>
      </c>
      <c r="H345" s="114"/>
      <c r="I345" s="115"/>
      <c r="J345" s="129">
        <f t="shared" si="100"/>
        <v>-53109.779088401025</v>
      </c>
    </row>
    <row r="346" spans="1:10" x14ac:dyDescent="0.2">
      <c r="A346" s="109" t="s">
        <v>43</v>
      </c>
      <c r="B346" s="110">
        <v>38353</v>
      </c>
      <c r="C346" s="110">
        <v>38442</v>
      </c>
      <c r="D346" s="111">
        <f t="shared" si="99"/>
        <v>90</v>
      </c>
      <c r="E346" s="112">
        <v>4.75</v>
      </c>
      <c r="F346" s="113">
        <f>+J345</f>
        <v>-53109.779088401025</v>
      </c>
      <c r="G346" s="114">
        <f>+D346/365*E346/100*F346</f>
        <v>-622.03919343264215</v>
      </c>
      <c r="H346" s="114"/>
      <c r="I346" s="115"/>
      <c r="J346" s="129">
        <f t="shared" si="100"/>
        <v>-53731.818281833665</v>
      </c>
    </row>
    <row r="347" spans="1:10" x14ac:dyDescent="0.2">
      <c r="A347" s="109" t="s">
        <v>40</v>
      </c>
      <c r="B347" s="110">
        <v>38443</v>
      </c>
      <c r="C347" s="110">
        <v>38533</v>
      </c>
      <c r="D347" s="111">
        <f t="shared" si="99"/>
        <v>91</v>
      </c>
      <c r="E347" s="112">
        <v>5.3</v>
      </c>
      <c r="F347" s="113">
        <f>+J346</f>
        <v>-53731.818281833665</v>
      </c>
      <c r="G347" s="114">
        <f>+D347/365*E347/100*F347</f>
        <v>-709.99605362543491</v>
      </c>
      <c r="H347" s="114"/>
      <c r="I347" s="115"/>
      <c r="J347" s="129">
        <f t="shared" si="100"/>
        <v>-54441.814335459101</v>
      </c>
    </row>
    <row r="348" spans="1:10" x14ac:dyDescent="0.2">
      <c r="A348" s="109" t="s">
        <v>42</v>
      </c>
      <c r="B348" s="110">
        <v>38534</v>
      </c>
      <c r="C348" s="110">
        <v>38625</v>
      </c>
      <c r="D348" s="111">
        <f t="shared" si="99"/>
        <v>92</v>
      </c>
      <c r="E348" s="112">
        <v>5.77</v>
      </c>
      <c r="F348" s="113">
        <f>+J347</f>
        <v>-54441.814335459101</v>
      </c>
      <c r="G348" s="114">
        <f>+D348/365*E348/100*F348</f>
        <v>-791.77788279000299</v>
      </c>
      <c r="H348" s="114">
        <f>F$343/20</f>
        <v>-2579.75</v>
      </c>
      <c r="I348" s="115">
        <f>G$349/20</f>
        <v>-181.92961091245539</v>
      </c>
      <c r="J348" s="129">
        <f t="shared" si="100"/>
        <v>-55233.592218249105</v>
      </c>
    </row>
    <row r="349" spans="1:10" x14ac:dyDescent="0.2">
      <c r="A349" s="117"/>
      <c r="B349" s="118"/>
      <c r="C349" s="118"/>
      <c r="D349" s="130"/>
      <c r="E349" s="393" t="s">
        <v>132</v>
      </c>
      <c r="F349" s="394"/>
      <c r="G349" s="120">
        <f>SUM(G343:G348)</f>
        <v>-3638.5922182491076</v>
      </c>
      <c r="H349" s="120"/>
      <c r="I349" s="121"/>
      <c r="J349" s="135"/>
    </row>
    <row r="350" spans="1:10" x14ac:dyDescent="0.2">
      <c r="A350" s="123" t="s">
        <v>36</v>
      </c>
      <c r="B350" s="110">
        <v>38626</v>
      </c>
      <c r="C350" s="110">
        <v>38717</v>
      </c>
      <c r="D350" s="111">
        <f>+C350-B350+1</f>
        <v>92</v>
      </c>
      <c r="E350" s="122">
        <v>6.23</v>
      </c>
      <c r="F350" s="131">
        <f>F$343+G$349-SUM(H$348:H349)-SUM(I$348:I349)</f>
        <v>-52471.91260733665</v>
      </c>
      <c r="G350" s="114">
        <f>+D350/365*E350/100*F350</f>
        <v>-823.96716246633082</v>
      </c>
      <c r="H350" s="114">
        <f t="shared" ref="H350:H358" si="101">F$343/20</f>
        <v>-2579.75</v>
      </c>
      <c r="I350" s="116">
        <f t="shared" ref="I350:I358" si="102">G$349/20</f>
        <v>-181.92961091245539</v>
      </c>
      <c r="J350" s="134"/>
    </row>
    <row r="351" spans="1:10" x14ac:dyDescent="0.2">
      <c r="A351" s="109" t="s">
        <v>76</v>
      </c>
      <c r="B351" s="110">
        <f>C350+1</f>
        <v>38718</v>
      </c>
      <c r="C351" s="110">
        <v>38807</v>
      </c>
      <c r="D351" s="111">
        <f t="shared" ref="D351:D358" si="103">+C351-B351+1</f>
        <v>90</v>
      </c>
      <c r="E351" s="112">
        <v>6.78</v>
      </c>
      <c r="F351" s="131">
        <f>F$343+G$349-SUM(H$348:H350)-SUM(I$348:I350)</f>
        <v>-49710.232996424194</v>
      </c>
      <c r="G351" s="114">
        <f t="shared" ref="G351:G358" si="104">+D351/365*E351/100*F351</f>
        <v>-831.0461417648778</v>
      </c>
      <c r="H351" s="114">
        <f t="shared" si="101"/>
        <v>-2579.75</v>
      </c>
      <c r="I351" s="116">
        <f t="shared" si="102"/>
        <v>-181.92961091245539</v>
      </c>
      <c r="J351" s="134"/>
    </row>
    <row r="352" spans="1:10" x14ac:dyDescent="0.2">
      <c r="A352" s="109" t="s">
        <v>77</v>
      </c>
      <c r="B352" s="110">
        <f t="shared" ref="B352:B368" si="105">C351+1</f>
        <v>38808</v>
      </c>
      <c r="C352" s="110">
        <v>38898</v>
      </c>
      <c r="D352" s="111">
        <f t="shared" si="103"/>
        <v>91</v>
      </c>
      <c r="E352" s="112">
        <v>7.3</v>
      </c>
      <c r="F352" s="131">
        <f>F$343+G$349-SUM(H$348:H351)-SUM(I$348:I351)</f>
        <v>-46948.553385511739</v>
      </c>
      <c r="G352" s="114">
        <f t="shared" si="104"/>
        <v>-854.46367161631372</v>
      </c>
      <c r="H352" s="114">
        <f t="shared" si="101"/>
        <v>-2579.75</v>
      </c>
      <c r="I352" s="116">
        <f t="shared" si="102"/>
        <v>-181.92961091245539</v>
      </c>
      <c r="J352" s="134"/>
    </row>
    <row r="353" spans="1:10" x14ac:dyDescent="0.2">
      <c r="A353" s="109" t="s">
        <v>78</v>
      </c>
      <c r="B353" s="110">
        <f t="shared" si="105"/>
        <v>38899</v>
      </c>
      <c r="C353" s="110">
        <v>38990</v>
      </c>
      <c r="D353" s="111">
        <f t="shared" si="103"/>
        <v>92</v>
      </c>
      <c r="E353" s="111">
        <v>7.74</v>
      </c>
      <c r="F353" s="131">
        <f>F$343+G$349-SUM(H$348:H352)-SUM(I$348:I352)</f>
        <v>-44186.873774599284</v>
      </c>
      <c r="G353" s="114">
        <f t="shared" si="104"/>
        <v>-862.0435363675798</v>
      </c>
      <c r="H353" s="114">
        <f t="shared" si="101"/>
        <v>-2579.75</v>
      </c>
      <c r="I353" s="116">
        <f t="shared" si="102"/>
        <v>-181.92961091245539</v>
      </c>
      <c r="J353" s="134"/>
    </row>
    <row r="354" spans="1:10" x14ac:dyDescent="0.2">
      <c r="A354" s="109" t="s">
        <v>79</v>
      </c>
      <c r="B354" s="110">
        <f t="shared" si="105"/>
        <v>38991</v>
      </c>
      <c r="C354" s="110">
        <v>39082</v>
      </c>
      <c r="D354" s="111">
        <f t="shared" si="103"/>
        <v>92</v>
      </c>
      <c r="E354" s="111">
        <v>8.17</v>
      </c>
      <c r="F354" s="131">
        <f>F$343+G$349-SUM(H$348:H353)-SUM(I$348:I353)</f>
        <v>-41425.194163686829</v>
      </c>
      <c r="G354" s="114">
        <f t="shared" si="104"/>
        <v>-853.06391619708415</v>
      </c>
      <c r="H354" s="114">
        <f t="shared" si="101"/>
        <v>-2579.75</v>
      </c>
      <c r="I354" s="116">
        <f t="shared" si="102"/>
        <v>-181.92961091245539</v>
      </c>
      <c r="J354" s="134"/>
    </row>
    <row r="355" spans="1:10" ht="13.5" customHeight="1" x14ac:dyDescent="0.2">
      <c r="A355" s="109" t="s">
        <v>80</v>
      </c>
      <c r="B355" s="110">
        <f t="shared" si="105"/>
        <v>39083</v>
      </c>
      <c r="C355" s="110">
        <v>39172</v>
      </c>
      <c r="D355" s="111">
        <f t="shared" si="103"/>
        <v>90</v>
      </c>
      <c r="E355" s="111">
        <v>8.25</v>
      </c>
      <c r="F355" s="131">
        <f>F$343+G$349-SUM(H$348:H354)-SUM(I$348:I354)</f>
        <v>-38663.514552774373</v>
      </c>
      <c r="G355" s="114">
        <f t="shared" si="104"/>
        <v>-786.51122069684857</v>
      </c>
      <c r="H355" s="114">
        <f t="shared" si="101"/>
        <v>-2579.75</v>
      </c>
      <c r="I355" s="116">
        <f t="shared" si="102"/>
        <v>-181.92961091245539</v>
      </c>
      <c r="J355" s="134"/>
    </row>
    <row r="356" spans="1:10" ht="13.5" customHeight="1" x14ac:dyDescent="0.2">
      <c r="A356" s="109" t="s">
        <v>81</v>
      </c>
      <c r="B356" s="110">
        <f t="shared" si="105"/>
        <v>39173</v>
      </c>
      <c r="C356" s="110">
        <v>39263</v>
      </c>
      <c r="D356" s="111">
        <f t="shared" si="103"/>
        <v>91</v>
      </c>
      <c r="E356" s="111">
        <v>8.25</v>
      </c>
      <c r="F356" s="131">
        <f>F$343+G$349-SUM(H$348:H355)-SUM(I$348:I355)</f>
        <v>-35901.834941861918</v>
      </c>
      <c r="G356" s="114">
        <f t="shared" si="104"/>
        <v>-738.4466460987079</v>
      </c>
      <c r="H356" s="114">
        <f t="shared" si="101"/>
        <v>-2579.75</v>
      </c>
      <c r="I356" s="116">
        <f t="shared" si="102"/>
        <v>-181.92961091245539</v>
      </c>
      <c r="J356" s="134"/>
    </row>
    <row r="357" spans="1:10" ht="13.5" customHeight="1" x14ac:dyDescent="0.2">
      <c r="A357" s="109" t="s">
        <v>82</v>
      </c>
      <c r="B357" s="110">
        <f t="shared" si="105"/>
        <v>39264</v>
      </c>
      <c r="C357" s="110">
        <v>39355</v>
      </c>
      <c r="D357" s="111">
        <f t="shared" si="103"/>
        <v>92</v>
      </c>
      <c r="E357" s="111">
        <v>8.25</v>
      </c>
      <c r="F357" s="131">
        <f>F$343+G$349-SUM(H$348:H356)-SUM(I$348:I356)</f>
        <v>-33140.155330949463</v>
      </c>
      <c r="G357" s="114">
        <f t="shared" si="104"/>
        <v>-689.13364099152454</v>
      </c>
      <c r="H357" s="114">
        <f t="shared" si="101"/>
        <v>-2579.75</v>
      </c>
      <c r="I357" s="116">
        <f t="shared" si="102"/>
        <v>-181.92961091245539</v>
      </c>
      <c r="J357" s="134"/>
    </row>
    <row r="358" spans="1:10" ht="13.5" customHeight="1" x14ac:dyDescent="0.2">
      <c r="A358" s="123" t="s">
        <v>83</v>
      </c>
      <c r="B358" s="110">
        <f t="shared" si="105"/>
        <v>39356</v>
      </c>
      <c r="C358" s="110">
        <v>39447</v>
      </c>
      <c r="D358" s="111">
        <f t="shared" si="103"/>
        <v>92</v>
      </c>
      <c r="E358" s="111">
        <v>8.25</v>
      </c>
      <c r="F358" s="131">
        <f>F$343+G$349-SUM(H$348:H357)-SUM(I$348:I357)</f>
        <v>-30378.475720037008</v>
      </c>
      <c r="G358" s="114">
        <f t="shared" si="104"/>
        <v>-631.70583757556415</v>
      </c>
      <c r="H358" s="114">
        <f t="shared" si="101"/>
        <v>-2579.75</v>
      </c>
      <c r="I358" s="116">
        <f t="shared" si="102"/>
        <v>-181.92961091245539</v>
      </c>
      <c r="J358" s="134"/>
    </row>
    <row r="359" spans="1:10" x14ac:dyDescent="0.2">
      <c r="A359" s="123" t="s">
        <v>105</v>
      </c>
      <c r="B359" s="110">
        <f t="shared" si="105"/>
        <v>39448</v>
      </c>
      <c r="C359" s="110">
        <v>39538</v>
      </c>
      <c r="D359" s="111">
        <f t="shared" ref="D359:D368" si="106">+C359-B359+1</f>
        <v>91</v>
      </c>
      <c r="E359" s="111">
        <v>7.76</v>
      </c>
      <c r="F359" s="131">
        <f>F$343+G$349-SUM(H$348:H358)-SUM(I$348:I358)</f>
        <v>-27616.796109124552</v>
      </c>
      <c r="G359" s="114">
        <f>+D359/366*E359/100*F359</f>
        <v>-532.83816230654088</v>
      </c>
      <c r="H359" s="114">
        <f t="shared" ref="H359:H368" si="107">F$343/20</f>
        <v>-2579.75</v>
      </c>
      <c r="I359" s="115">
        <f t="shared" ref="I359:I368" si="108">G$349/20</f>
        <v>-181.92961091245539</v>
      </c>
      <c r="J359" s="96"/>
    </row>
    <row r="360" spans="1:10" x14ac:dyDescent="0.2">
      <c r="A360" s="123" t="s">
        <v>106</v>
      </c>
      <c r="B360" s="110">
        <f t="shared" si="105"/>
        <v>39539</v>
      </c>
      <c r="C360" s="110">
        <v>39629</v>
      </c>
      <c r="D360" s="111">
        <f t="shared" si="106"/>
        <v>91</v>
      </c>
      <c r="E360" s="111">
        <v>6.77</v>
      </c>
      <c r="F360" s="131">
        <f>F$343+G$349-SUM(H$348:H359)-SUM(I$348:I359)</f>
        <v>-24855.116498212094</v>
      </c>
      <c r="G360" s="114">
        <f>+D360/366*E360/100*F360</f>
        <v>-418.37408800692685</v>
      </c>
      <c r="H360" s="114">
        <f t="shared" si="107"/>
        <v>-2579.75</v>
      </c>
      <c r="I360" s="115">
        <f t="shared" si="108"/>
        <v>-181.92961091245539</v>
      </c>
      <c r="J360" s="96"/>
    </row>
    <row r="361" spans="1:10" x14ac:dyDescent="0.2">
      <c r="A361" s="123" t="s">
        <v>107</v>
      </c>
      <c r="B361" s="110">
        <f t="shared" si="105"/>
        <v>39630</v>
      </c>
      <c r="C361" s="110">
        <v>39721</v>
      </c>
      <c r="D361" s="111">
        <f t="shared" si="106"/>
        <v>92</v>
      </c>
      <c r="E361" s="111">
        <v>5.3</v>
      </c>
      <c r="F361" s="131">
        <f>F$343+G$349-SUM(H$348:H360)-SUM(I$348:I360)</f>
        <v>-22093.436887299638</v>
      </c>
      <c r="G361" s="114">
        <f>+D361/366*E361/100*F361</f>
        <v>-294.33770017069139</v>
      </c>
      <c r="H361" s="114">
        <f t="shared" si="107"/>
        <v>-2579.75</v>
      </c>
      <c r="I361" s="115">
        <f t="shared" si="108"/>
        <v>-181.92961091245539</v>
      </c>
      <c r="J361" s="96"/>
    </row>
    <row r="362" spans="1:10" x14ac:dyDescent="0.2">
      <c r="A362" s="123" t="s">
        <v>100</v>
      </c>
      <c r="B362" s="110">
        <f t="shared" si="105"/>
        <v>39722</v>
      </c>
      <c r="C362" s="110">
        <v>39813</v>
      </c>
      <c r="D362" s="111">
        <f t="shared" si="106"/>
        <v>92</v>
      </c>
      <c r="E362" s="111">
        <v>5</v>
      </c>
      <c r="F362" s="131">
        <f>F$343+G$349-SUM(H$348:H361)-SUM(I$348:I361)</f>
        <v>-19331.757276387183</v>
      </c>
      <c r="G362" s="114">
        <f>+D362/366*E362/100*F362</f>
        <v>-242.96744117863673</v>
      </c>
      <c r="H362" s="114">
        <f t="shared" si="107"/>
        <v>-2579.75</v>
      </c>
      <c r="I362" s="115">
        <f t="shared" si="108"/>
        <v>-181.92961091245539</v>
      </c>
      <c r="J362" s="96"/>
    </row>
    <row r="363" spans="1:10" x14ac:dyDescent="0.2">
      <c r="A363" s="123" t="s">
        <v>108</v>
      </c>
      <c r="B363" s="110">
        <f t="shared" si="105"/>
        <v>39814</v>
      </c>
      <c r="C363" s="110">
        <v>39903</v>
      </c>
      <c r="D363" s="111">
        <f t="shared" si="106"/>
        <v>90</v>
      </c>
      <c r="E363" s="111">
        <v>4.5199999999999996</v>
      </c>
      <c r="F363" s="131">
        <f>F$343+G$349-SUM(H$348:H362)-SUM(I$348:I362)</f>
        <v>-16570.077665474728</v>
      </c>
      <c r="G363" s="114">
        <f t="shared" ref="G363:G368" si="109">+D363/365*E363/100*F363</f>
        <v>-184.67692039219506</v>
      </c>
      <c r="H363" s="114">
        <f t="shared" si="107"/>
        <v>-2579.75</v>
      </c>
      <c r="I363" s="115">
        <f t="shared" si="108"/>
        <v>-181.92961091245539</v>
      </c>
      <c r="J363" s="96"/>
    </row>
    <row r="364" spans="1:10" x14ac:dyDescent="0.2">
      <c r="A364" s="123" t="s">
        <v>109</v>
      </c>
      <c r="B364" s="110">
        <f t="shared" si="105"/>
        <v>39904</v>
      </c>
      <c r="C364" s="110">
        <v>39994</v>
      </c>
      <c r="D364" s="111">
        <f t="shared" si="106"/>
        <v>91</v>
      </c>
      <c r="E364" s="111">
        <v>3.37</v>
      </c>
      <c r="F364" s="131">
        <f>F$343+G$349-SUM(H$348:H363)-SUM(I$348:I363)</f>
        <v>-13808.398054562274</v>
      </c>
      <c r="G364" s="114">
        <f t="shared" si="109"/>
        <v>-116.01702551760582</v>
      </c>
      <c r="H364" s="114">
        <f t="shared" si="107"/>
        <v>-2579.75</v>
      </c>
      <c r="I364" s="115">
        <f t="shared" si="108"/>
        <v>-181.92961091245539</v>
      </c>
      <c r="J364" s="96"/>
    </row>
    <row r="365" spans="1:10" x14ac:dyDescent="0.2">
      <c r="A365" s="123" t="s">
        <v>111</v>
      </c>
      <c r="B365" s="110">
        <f t="shared" si="105"/>
        <v>39995</v>
      </c>
      <c r="C365" s="110">
        <v>40086</v>
      </c>
      <c r="D365" s="111">
        <f t="shared" si="106"/>
        <v>92</v>
      </c>
      <c r="E365" s="111">
        <v>3.25</v>
      </c>
      <c r="F365" s="131">
        <f>F$343+G$349-SUM(H$348:H364)-SUM(I$348:I364)</f>
        <v>-11046.718443649819</v>
      </c>
      <c r="G365" s="114">
        <f t="shared" si="109"/>
        <v>-90.492296291816331</v>
      </c>
      <c r="H365" s="114">
        <f t="shared" si="107"/>
        <v>-2579.75</v>
      </c>
      <c r="I365" s="115">
        <f t="shared" si="108"/>
        <v>-181.92961091245539</v>
      </c>
      <c r="J365" s="96"/>
    </row>
    <row r="366" spans="1:10" x14ac:dyDescent="0.2">
      <c r="A366" s="123" t="s">
        <v>101</v>
      </c>
      <c r="B366" s="110">
        <f t="shared" si="105"/>
        <v>40087</v>
      </c>
      <c r="C366" s="110">
        <v>40178</v>
      </c>
      <c r="D366" s="111">
        <f t="shared" si="106"/>
        <v>92</v>
      </c>
      <c r="E366" s="111">
        <f>E365</f>
        <v>3.25</v>
      </c>
      <c r="F366" s="131">
        <f>F$343+G$349-SUM(H$348:H365)-SUM(I$348:I365)</f>
        <v>-8285.0388327373639</v>
      </c>
      <c r="G366" s="114">
        <f t="shared" si="109"/>
        <v>-67.869222218862248</v>
      </c>
      <c r="H366" s="114">
        <f t="shared" si="107"/>
        <v>-2579.75</v>
      </c>
      <c r="I366" s="115">
        <f t="shared" si="108"/>
        <v>-181.92961091245539</v>
      </c>
      <c r="J366" s="96"/>
    </row>
    <row r="367" spans="1:10" x14ac:dyDescent="0.2">
      <c r="A367" s="123" t="s">
        <v>112</v>
      </c>
      <c r="B367" s="110">
        <f t="shared" si="105"/>
        <v>40179</v>
      </c>
      <c r="C367" s="110">
        <v>40268</v>
      </c>
      <c r="D367" s="111">
        <f t="shared" si="106"/>
        <v>90</v>
      </c>
      <c r="E367" s="111">
        <f>E366</f>
        <v>3.25</v>
      </c>
      <c r="F367" s="131">
        <f>F$343+G$349-SUM(H$348:H366)-SUM(I$348:I366)</f>
        <v>-5523.3592218249087</v>
      </c>
      <c r="G367" s="114">
        <f t="shared" si="109"/>
        <v>-44.262536229692756</v>
      </c>
      <c r="H367" s="114">
        <f t="shared" si="107"/>
        <v>-2579.75</v>
      </c>
      <c r="I367" s="115">
        <f t="shared" si="108"/>
        <v>-181.92961091245539</v>
      </c>
      <c r="J367" s="96"/>
    </row>
    <row r="368" spans="1:10" x14ac:dyDescent="0.2">
      <c r="A368" s="124" t="s">
        <v>113</v>
      </c>
      <c r="B368" s="125">
        <f t="shared" si="105"/>
        <v>40269</v>
      </c>
      <c r="C368" s="125">
        <v>40359</v>
      </c>
      <c r="D368" s="126">
        <f t="shared" si="106"/>
        <v>91</v>
      </c>
      <c r="E368" s="126">
        <f>E367</f>
        <v>3.25</v>
      </c>
      <c r="F368" s="131">
        <f>F$343+G$349-SUM(H$348:H367)-SUM(I$348:I367)</f>
        <v>-2761.679610912453</v>
      </c>
      <c r="G368" s="127">
        <f t="shared" si="109"/>
        <v>-22.37717109390022</v>
      </c>
      <c r="H368" s="127">
        <f t="shared" si="107"/>
        <v>-2579.75</v>
      </c>
      <c r="I368" s="128">
        <f t="shared" si="108"/>
        <v>-181.92961091245539</v>
      </c>
      <c r="J368" s="96"/>
    </row>
    <row r="369" spans="1:10" x14ac:dyDescent="0.2">
      <c r="E369" s="240"/>
    </row>
    <row r="370" spans="1:10" x14ac:dyDescent="0.2">
      <c r="A370" s="387" t="s">
        <v>65</v>
      </c>
      <c r="B370" s="388"/>
      <c r="C370" s="388"/>
      <c r="D370" s="388"/>
      <c r="E370" s="388"/>
      <c r="F370" s="388"/>
      <c r="G370" s="388"/>
      <c r="H370" s="388"/>
      <c r="I370" s="388"/>
      <c r="J370" s="389"/>
    </row>
    <row r="371" spans="1:10" x14ac:dyDescent="0.2">
      <c r="A371" s="30" t="s">
        <v>10</v>
      </c>
      <c r="B371" s="30" t="s">
        <v>11</v>
      </c>
      <c r="C371" s="30" t="s">
        <v>12</v>
      </c>
      <c r="D371" s="30" t="s">
        <v>13</v>
      </c>
      <c r="E371" s="30" t="s">
        <v>14</v>
      </c>
      <c r="F371" s="30" t="s">
        <v>15</v>
      </c>
      <c r="G371" s="30" t="s">
        <v>16</v>
      </c>
      <c r="H371" s="30"/>
      <c r="I371" s="30"/>
      <c r="J371" s="30" t="s">
        <v>17</v>
      </c>
    </row>
    <row r="372" spans="1:10" ht="51" x14ac:dyDescent="0.2">
      <c r="A372" s="70" t="s">
        <v>18</v>
      </c>
      <c r="B372" s="70" t="s">
        <v>19</v>
      </c>
      <c r="C372" s="70" t="s">
        <v>20</v>
      </c>
      <c r="D372" s="70" t="s">
        <v>21</v>
      </c>
      <c r="E372" s="70" t="s">
        <v>22</v>
      </c>
      <c r="F372" s="70" t="s">
        <v>23</v>
      </c>
      <c r="G372" s="6" t="s">
        <v>130</v>
      </c>
      <c r="H372" s="6" t="s">
        <v>37</v>
      </c>
      <c r="I372" s="6" t="s">
        <v>131</v>
      </c>
      <c r="J372" s="70" t="s">
        <v>25</v>
      </c>
    </row>
    <row r="373" spans="1:10" x14ac:dyDescent="0.2">
      <c r="A373" s="102" t="s">
        <v>44</v>
      </c>
      <c r="B373" s="103">
        <f>B25</f>
        <v>38122</v>
      </c>
      <c r="C373" s="103">
        <v>38168</v>
      </c>
      <c r="D373" s="104">
        <f t="shared" ref="D373:D378" si="110">+C373-B373+1</f>
        <v>47</v>
      </c>
      <c r="E373" s="105">
        <v>4</v>
      </c>
      <c r="F373" s="106">
        <f>E25</f>
        <v>1822</v>
      </c>
      <c r="G373" s="107">
        <f t="shared" ref="G373:G378" si="111">+D373/366*E373/100*F373</f>
        <v>9.3589071038251372</v>
      </c>
      <c r="H373" s="107"/>
      <c r="I373" s="108"/>
      <c r="J373" s="142">
        <f t="shared" ref="J373:J378" si="112">+F373+G373</f>
        <v>1831.3589071038252</v>
      </c>
    </row>
    <row r="374" spans="1:10" x14ac:dyDescent="0.2">
      <c r="A374" s="109" t="s">
        <v>41</v>
      </c>
      <c r="B374" s="110">
        <v>38169</v>
      </c>
      <c r="C374" s="110">
        <v>38260</v>
      </c>
      <c r="D374" s="111">
        <f t="shared" si="110"/>
        <v>92</v>
      </c>
      <c r="E374" s="112">
        <v>4</v>
      </c>
      <c r="F374" s="113">
        <f>+J373</f>
        <v>1831.3589071038252</v>
      </c>
      <c r="G374" s="114">
        <f t="shared" si="111"/>
        <v>18.413663328257041</v>
      </c>
      <c r="H374" s="114"/>
      <c r="I374" s="115"/>
      <c r="J374" s="129">
        <f t="shared" si="112"/>
        <v>1849.7725704320824</v>
      </c>
    </row>
    <row r="375" spans="1:10" x14ac:dyDescent="0.2">
      <c r="A375" s="109" t="s">
        <v>45</v>
      </c>
      <c r="B375" s="110">
        <v>38261</v>
      </c>
      <c r="C375" s="110">
        <v>38352</v>
      </c>
      <c r="D375" s="111">
        <f t="shared" si="110"/>
        <v>92</v>
      </c>
      <c r="E375" s="112">
        <v>4.22</v>
      </c>
      <c r="F375" s="113">
        <f>+J374</f>
        <v>1849.7725704320824</v>
      </c>
      <c r="G375" s="114">
        <f t="shared" si="111"/>
        <v>19.621740512146221</v>
      </c>
      <c r="H375" s="114"/>
      <c r="I375" s="115"/>
      <c r="J375" s="129">
        <f t="shared" si="112"/>
        <v>1869.3943109442287</v>
      </c>
    </row>
    <row r="376" spans="1:10" x14ac:dyDescent="0.2">
      <c r="A376" s="109" t="s">
        <v>43</v>
      </c>
      <c r="B376" s="110">
        <v>38353</v>
      </c>
      <c r="C376" s="110">
        <v>38442</v>
      </c>
      <c r="D376" s="111">
        <f t="shared" si="110"/>
        <v>90</v>
      </c>
      <c r="E376" s="112">
        <v>4.75</v>
      </c>
      <c r="F376" s="113">
        <f>+J375</f>
        <v>1869.3943109442287</v>
      </c>
      <c r="G376" s="114">
        <f t="shared" si="111"/>
        <v>21.83513846799611</v>
      </c>
      <c r="H376" s="114"/>
      <c r="I376" s="115"/>
      <c r="J376" s="129">
        <f t="shared" si="112"/>
        <v>1891.2294494122248</v>
      </c>
    </row>
    <row r="377" spans="1:10" x14ac:dyDescent="0.2">
      <c r="A377" s="109" t="s">
        <v>40</v>
      </c>
      <c r="B377" s="110">
        <v>38443</v>
      </c>
      <c r="C377" s="110">
        <v>38533</v>
      </c>
      <c r="D377" s="111">
        <f t="shared" si="110"/>
        <v>91</v>
      </c>
      <c r="E377" s="112">
        <v>5.3</v>
      </c>
      <c r="F377" s="113">
        <f>+J376</f>
        <v>1891.2294494122248</v>
      </c>
      <c r="G377" s="114">
        <f t="shared" si="111"/>
        <v>24.921856924904805</v>
      </c>
      <c r="H377" s="114"/>
      <c r="I377" s="115"/>
      <c r="J377" s="129">
        <f t="shared" si="112"/>
        <v>1916.1513063371297</v>
      </c>
    </row>
    <row r="378" spans="1:10" x14ac:dyDescent="0.2">
      <c r="A378" s="109" t="s">
        <v>42</v>
      </c>
      <c r="B378" s="110">
        <v>38534</v>
      </c>
      <c r="C378" s="110">
        <v>38625</v>
      </c>
      <c r="D378" s="111">
        <f t="shared" si="110"/>
        <v>92</v>
      </c>
      <c r="E378" s="112">
        <v>5.77</v>
      </c>
      <c r="F378" s="113">
        <f>+J377</f>
        <v>1916.1513063371297</v>
      </c>
      <c r="G378" s="114">
        <f t="shared" si="111"/>
        <v>27.791523482404418</v>
      </c>
      <c r="H378" s="114">
        <f>F$373/20</f>
        <v>91.1</v>
      </c>
      <c r="I378" s="115">
        <f>G$379/20</f>
        <v>6.0971414909766866</v>
      </c>
      <c r="J378" s="129">
        <f t="shared" si="112"/>
        <v>1943.9428298195342</v>
      </c>
    </row>
    <row r="379" spans="1:10" x14ac:dyDescent="0.2">
      <c r="A379" s="117"/>
      <c r="B379" s="118"/>
      <c r="C379" s="118"/>
      <c r="D379" s="130"/>
      <c r="E379" s="393" t="s">
        <v>132</v>
      </c>
      <c r="F379" s="394"/>
      <c r="G379" s="120">
        <f>SUM(G373:G378)</f>
        <v>121.94282981953373</v>
      </c>
      <c r="H379" s="120"/>
      <c r="I379" s="121"/>
      <c r="J379" s="135"/>
    </row>
    <row r="380" spans="1:10" x14ac:dyDescent="0.2">
      <c r="A380" s="123" t="s">
        <v>36</v>
      </c>
      <c r="B380" s="110">
        <v>38626</v>
      </c>
      <c r="C380" s="110">
        <v>38717</v>
      </c>
      <c r="D380" s="111">
        <f>+C380-B380+1</f>
        <v>92</v>
      </c>
      <c r="E380" s="122">
        <v>6.23</v>
      </c>
      <c r="F380" s="131">
        <f>F$373+G$379-SUM(H$378:H379)-SUM(I$378:I379)</f>
        <v>1846.7456883285572</v>
      </c>
      <c r="G380" s="131">
        <f>+D380/366*E380/100*F380</f>
        <v>28.920239309355082</v>
      </c>
      <c r="H380" s="114">
        <f t="shared" ref="H380:H388" si="113">F$373/20</f>
        <v>91.1</v>
      </c>
      <c r="I380" s="116">
        <f>G$379/20</f>
        <v>6.0971414909766866</v>
      </c>
      <c r="J380" s="134"/>
    </row>
    <row r="381" spans="1:10" x14ac:dyDescent="0.2">
      <c r="A381" s="109" t="s">
        <v>76</v>
      </c>
      <c r="B381" s="110">
        <f>C380+1</f>
        <v>38718</v>
      </c>
      <c r="C381" s="110">
        <v>38807</v>
      </c>
      <c r="D381" s="111">
        <f t="shared" ref="D381:D388" si="114">+C381-B381+1</f>
        <v>90</v>
      </c>
      <c r="E381" s="112">
        <v>6.78</v>
      </c>
      <c r="F381" s="131">
        <f>F$373+G$379-SUM(H$378:H380)-SUM(I$378:I380)</f>
        <v>1749.5485468375803</v>
      </c>
      <c r="G381" s="114">
        <f t="shared" ref="G381:G388" si="115">+D381/365*E381/100*F381</f>
        <v>29.248617076172362</v>
      </c>
      <c r="H381" s="114">
        <f t="shared" si="113"/>
        <v>91.1</v>
      </c>
      <c r="I381" s="116">
        <f t="shared" ref="I381:I388" si="116">G$379/20</f>
        <v>6.0971414909766866</v>
      </c>
      <c r="J381" s="134"/>
    </row>
    <row r="382" spans="1:10" x14ac:dyDescent="0.2">
      <c r="A382" s="109" t="s">
        <v>77</v>
      </c>
      <c r="B382" s="110">
        <f t="shared" ref="B382:B399" si="117">C381+1</f>
        <v>38808</v>
      </c>
      <c r="C382" s="110">
        <v>38898</v>
      </c>
      <c r="D382" s="111">
        <f t="shared" si="114"/>
        <v>91</v>
      </c>
      <c r="E382" s="112">
        <v>7.3</v>
      </c>
      <c r="F382" s="131">
        <f>F$373+G$379-SUM(H$378:H381)-SUM(I$378:I381)</f>
        <v>1652.3514053466038</v>
      </c>
      <c r="G382" s="114">
        <f t="shared" si="115"/>
        <v>30.072795577308192</v>
      </c>
      <c r="H382" s="114">
        <f t="shared" si="113"/>
        <v>91.1</v>
      </c>
      <c r="I382" s="116">
        <f t="shared" si="116"/>
        <v>6.0971414909766866</v>
      </c>
      <c r="J382" s="134"/>
    </row>
    <row r="383" spans="1:10" x14ac:dyDescent="0.2">
      <c r="A383" s="109" t="s">
        <v>78</v>
      </c>
      <c r="B383" s="110">
        <f t="shared" si="117"/>
        <v>38899</v>
      </c>
      <c r="C383" s="110">
        <v>38990</v>
      </c>
      <c r="D383" s="111">
        <f t="shared" si="114"/>
        <v>92</v>
      </c>
      <c r="E383" s="111">
        <v>7.74</v>
      </c>
      <c r="F383" s="131">
        <f>F$373+G$379-SUM(H$378:H382)-SUM(I$378:I382)</f>
        <v>1555.1542638556271</v>
      </c>
      <c r="G383" s="114">
        <f t="shared" si="115"/>
        <v>30.339568444008634</v>
      </c>
      <c r="H383" s="114">
        <f t="shared" si="113"/>
        <v>91.1</v>
      </c>
      <c r="I383" s="116">
        <f t="shared" si="116"/>
        <v>6.0971414909766866</v>
      </c>
      <c r="J383" s="134"/>
    </row>
    <row r="384" spans="1:10" x14ac:dyDescent="0.2">
      <c r="A384" s="109" t="s">
        <v>79</v>
      </c>
      <c r="B384" s="110">
        <f t="shared" si="117"/>
        <v>38991</v>
      </c>
      <c r="C384" s="110">
        <v>39082</v>
      </c>
      <c r="D384" s="111">
        <f t="shared" si="114"/>
        <v>92</v>
      </c>
      <c r="E384" s="111">
        <v>8.17</v>
      </c>
      <c r="F384" s="131">
        <f>F$373+G$379-SUM(H$378:H383)-SUM(I$378:I383)</f>
        <v>1457.9571223646503</v>
      </c>
      <c r="G384" s="114">
        <f t="shared" si="115"/>
        <v>30.023531272716873</v>
      </c>
      <c r="H384" s="114">
        <f t="shared" si="113"/>
        <v>91.1</v>
      </c>
      <c r="I384" s="116">
        <f t="shared" si="116"/>
        <v>6.0971414909766866</v>
      </c>
      <c r="J384" s="134"/>
    </row>
    <row r="385" spans="1:10" x14ac:dyDescent="0.2">
      <c r="A385" s="109" t="s">
        <v>80</v>
      </c>
      <c r="B385" s="110">
        <f t="shared" si="117"/>
        <v>39083</v>
      </c>
      <c r="C385" s="110">
        <v>39172</v>
      </c>
      <c r="D385" s="111">
        <f t="shared" si="114"/>
        <v>90</v>
      </c>
      <c r="E385" s="111">
        <v>8.25</v>
      </c>
      <c r="F385" s="131">
        <f>F$373+G$379-SUM(H$378:H384)-SUM(I$378:I384)</f>
        <v>1360.7599808736734</v>
      </c>
      <c r="G385" s="114">
        <f t="shared" si="115"/>
        <v>27.681213309553492</v>
      </c>
      <c r="H385" s="114">
        <f t="shared" si="113"/>
        <v>91.1</v>
      </c>
      <c r="I385" s="116">
        <f t="shared" si="116"/>
        <v>6.0971414909766866</v>
      </c>
      <c r="J385" s="134"/>
    </row>
    <row r="386" spans="1:10" x14ac:dyDescent="0.2">
      <c r="A386" s="109" t="s">
        <v>81</v>
      </c>
      <c r="B386" s="110">
        <f t="shared" si="117"/>
        <v>39173</v>
      </c>
      <c r="C386" s="110">
        <v>39263</v>
      </c>
      <c r="D386" s="111">
        <f t="shared" si="114"/>
        <v>91</v>
      </c>
      <c r="E386" s="111">
        <v>8.25</v>
      </c>
      <c r="F386" s="131">
        <f>F$373+G$379-SUM(H$378:H385)-SUM(I$378:I385)</f>
        <v>1263.5628393826969</v>
      </c>
      <c r="G386" s="114">
        <f t="shared" si="115"/>
        <v>25.989583607303008</v>
      </c>
      <c r="H386" s="114">
        <f t="shared" si="113"/>
        <v>91.1</v>
      </c>
      <c r="I386" s="116">
        <f t="shared" si="116"/>
        <v>6.0971414909766866</v>
      </c>
      <c r="J386" s="134"/>
    </row>
    <row r="387" spans="1:10" x14ac:dyDescent="0.2">
      <c r="A387" s="109" t="s">
        <v>82</v>
      </c>
      <c r="B387" s="110">
        <f t="shared" si="117"/>
        <v>39264</v>
      </c>
      <c r="C387" s="110">
        <v>39355</v>
      </c>
      <c r="D387" s="111">
        <f t="shared" si="114"/>
        <v>92</v>
      </c>
      <c r="E387" s="111">
        <v>8.25</v>
      </c>
      <c r="F387" s="131">
        <f>F$373+G$379-SUM(H$378:H386)-SUM(I$378:I386)</f>
        <v>1166.3656978917202</v>
      </c>
      <c r="G387" s="114">
        <f t="shared" si="115"/>
        <v>24.254015471227827</v>
      </c>
      <c r="H387" s="114">
        <f t="shared" si="113"/>
        <v>91.1</v>
      </c>
      <c r="I387" s="116">
        <f t="shared" si="116"/>
        <v>6.0971414909766866</v>
      </c>
      <c r="J387" s="134"/>
    </row>
    <row r="388" spans="1:10" x14ac:dyDescent="0.2">
      <c r="A388" s="123" t="s">
        <v>83</v>
      </c>
      <c r="B388" s="110">
        <f t="shared" si="117"/>
        <v>39356</v>
      </c>
      <c r="C388" s="110">
        <v>39447</v>
      </c>
      <c r="D388" s="111">
        <f t="shared" si="114"/>
        <v>92</v>
      </c>
      <c r="E388" s="111">
        <v>8.25</v>
      </c>
      <c r="F388" s="131">
        <f>F$373+G$379-SUM(H$378:H387)-SUM(I$378:I387)</f>
        <v>1069.1685564007435</v>
      </c>
      <c r="G388" s="114">
        <f t="shared" si="115"/>
        <v>22.232847515292175</v>
      </c>
      <c r="H388" s="114">
        <f t="shared" si="113"/>
        <v>91.1</v>
      </c>
      <c r="I388" s="116">
        <f t="shared" si="116"/>
        <v>6.0971414909766866</v>
      </c>
      <c r="J388" s="134"/>
    </row>
    <row r="389" spans="1:10" x14ac:dyDescent="0.2">
      <c r="A389" s="123" t="s">
        <v>105</v>
      </c>
      <c r="B389" s="110">
        <f t="shared" si="117"/>
        <v>39448</v>
      </c>
      <c r="C389" s="110">
        <v>39538</v>
      </c>
      <c r="D389" s="111">
        <f t="shared" ref="D389:D399" si="118">+C389-B389+1</f>
        <v>91</v>
      </c>
      <c r="E389" s="111">
        <v>7.76</v>
      </c>
      <c r="F389" s="131">
        <f>F$373+G$379-SUM(H$378:H388)-SUM(I$378:I388)</f>
        <v>971.97141490976662</v>
      </c>
      <c r="G389" s="114">
        <f>+D389/366*E389/100*F389</f>
        <v>18.753205856630625</v>
      </c>
      <c r="H389" s="114">
        <f t="shared" ref="H389:H398" si="119">F$373/20</f>
        <v>91.1</v>
      </c>
      <c r="I389" s="115">
        <f t="shared" ref="I389:I398" si="120">G$379/20</f>
        <v>6.0971414909766866</v>
      </c>
      <c r="J389" s="96"/>
    </row>
    <row r="390" spans="1:10" x14ac:dyDescent="0.2">
      <c r="A390" s="123" t="s">
        <v>106</v>
      </c>
      <c r="B390" s="110">
        <f t="shared" si="117"/>
        <v>39539</v>
      </c>
      <c r="C390" s="110">
        <v>39629</v>
      </c>
      <c r="D390" s="111">
        <f t="shared" si="118"/>
        <v>91</v>
      </c>
      <c r="E390" s="111">
        <v>6.77</v>
      </c>
      <c r="F390" s="131">
        <f>F$373+G$379-SUM(H$378:H389)-SUM(I$378:I389)</f>
        <v>874.77427341879002</v>
      </c>
      <c r="G390" s="114">
        <f>+D390/366*E390/100*F390</f>
        <v>14.724649907789997</v>
      </c>
      <c r="H390" s="114">
        <f t="shared" si="119"/>
        <v>91.1</v>
      </c>
      <c r="I390" s="115">
        <f t="shared" si="120"/>
        <v>6.0971414909766866</v>
      </c>
      <c r="J390" s="96"/>
    </row>
    <row r="391" spans="1:10" x14ac:dyDescent="0.2">
      <c r="A391" s="123" t="s">
        <v>107</v>
      </c>
      <c r="B391" s="110">
        <f t="shared" si="117"/>
        <v>39630</v>
      </c>
      <c r="C391" s="110">
        <v>39721</v>
      </c>
      <c r="D391" s="111">
        <f t="shared" si="118"/>
        <v>92</v>
      </c>
      <c r="E391" s="111">
        <v>5.3</v>
      </c>
      <c r="F391" s="131">
        <f>F$373+G$379-SUM(H$378:H390)-SUM(I$378:I390)</f>
        <v>777.57713192781341</v>
      </c>
      <c r="G391" s="114">
        <f>+D391/366*E391/100*F391</f>
        <v>10.359196981639395</v>
      </c>
      <c r="H391" s="114">
        <f t="shared" si="119"/>
        <v>91.1</v>
      </c>
      <c r="I391" s="115">
        <f t="shared" si="120"/>
        <v>6.0971414909766866</v>
      </c>
      <c r="J391" s="96"/>
    </row>
    <row r="392" spans="1:10" x14ac:dyDescent="0.2">
      <c r="A392" s="123" t="s">
        <v>100</v>
      </c>
      <c r="B392" s="110">
        <f t="shared" si="117"/>
        <v>39722</v>
      </c>
      <c r="C392" s="110">
        <v>39813</v>
      </c>
      <c r="D392" s="111">
        <f t="shared" si="118"/>
        <v>92</v>
      </c>
      <c r="E392" s="111">
        <v>5</v>
      </c>
      <c r="F392" s="131">
        <f>F$373+G$379-SUM(H$378:H391)-SUM(I$378:I391)</f>
        <v>680.37999043683681</v>
      </c>
      <c r="G392" s="114">
        <f>+D392/366*E392/100*F392</f>
        <v>8.5512239235230858</v>
      </c>
      <c r="H392" s="114">
        <f t="shared" si="119"/>
        <v>91.1</v>
      </c>
      <c r="I392" s="115">
        <f t="shared" si="120"/>
        <v>6.0971414909766866</v>
      </c>
      <c r="J392" s="96"/>
    </row>
    <row r="393" spans="1:10" x14ac:dyDescent="0.2">
      <c r="A393" s="123" t="s">
        <v>108</v>
      </c>
      <c r="B393" s="110">
        <f t="shared" si="117"/>
        <v>39814</v>
      </c>
      <c r="C393" s="110">
        <v>39903</v>
      </c>
      <c r="D393" s="111">
        <f t="shared" si="118"/>
        <v>90</v>
      </c>
      <c r="E393" s="111">
        <v>4.5199999999999996</v>
      </c>
      <c r="F393" s="131">
        <f>F$373+G$379-SUM(H$378:H392)-SUM(I$378:I392)</f>
        <v>583.1828489458602</v>
      </c>
      <c r="G393" s="114">
        <f t="shared" ref="G393:G399" si="121">+D393/365*E393/100*F393</f>
        <v>6.4996926835938611</v>
      </c>
      <c r="H393" s="114">
        <f t="shared" si="119"/>
        <v>91.1</v>
      </c>
      <c r="I393" s="115">
        <f t="shared" si="120"/>
        <v>6.0971414909766866</v>
      </c>
      <c r="J393" s="96"/>
    </row>
    <row r="394" spans="1:10" x14ac:dyDescent="0.2">
      <c r="A394" s="123" t="s">
        <v>109</v>
      </c>
      <c r="B394" s="110">
        <f t="shared" si="117"/>
        <v>39904</v>
      </c>
      <c r="C394" s="110">
        <v>39994</v>
      </c>
      <c r="D394" s="111">
        <f t="shared" si="118"/>
        <v>91</v>
      </c>
      <c r="E394" s="111">
        <v>3.37</v>
      </c>
      <c r="F394" s="131">
        <f>F$373+G$379-SUM(H$378:H393)-SUM(I$378:I393)</f>
        <v>485.98570745488365</v>
      </c>
      <c r="G394" s="114">
        <f t="shared" si="121"/>
        <v>4.0832119700051823</v>
      </c>
      <c r="H394" s="114">
        <f t="shared" si="119"/>
        <v>91.1</v>
      </c>
      <c r="I394" s="115">
        <f t="shared" si="120"/>
        <v>6.0971414909766866</v>
      </c>
      <c r="J394" s="96"/>
    </row>
    <row r="395" spans="1:10" x14ac:dyDescent="0.2">
      <c r="A395" s="123" t="s">
        <v>111</v>
      </c>
      <c r="B395" s="110">
        <f t="shared" si="117"/>
        <v>39995</v>
      </c>
      <c r="C395" s="110">
        <v>40086</v>
      </c>
      <c r="D395" s="111">
        <f t="shared" si="118"/>
        <v>92</v>
      </c>
      <c r="E395" s="111">
        <v>3.25</v>
      </c>
      <c r="F395" s="131">
        <f>F$373+G$379-SUM(H$378:H394)-SUM(I$378:I394)</f>
        <v>388.78856596390705</v>
      </c>
      <c r="G395" s="114">
        <f t="shared" si="121"/>
        <v>3.1848707184440608</v>
      </c>
      <c r="H395" s="114">
        <f t="shared" si="119"/>
        <v>91.1</v>
      </c>
      <c r="I395" s="115">
        <f t="shared" si="120"/>
        <v>6.0971414909766866</v>
      </c>
      <c r="J395" s="96"/>
    </row>
    <row r="396" spans="1:10" x14ac:dyDescent="0.2">
      <c r="A396" s="123" t="s">
        <v>101</v>
      </c>
      <c r="B396" s="110">
        <f t="shared" si="117"/>
        <v>40087</v>
      </c>
      <c r="C396" s="110">
        <v>40178</v>
      </c>
      <c r="D396" s="111">
        <f t="shared" si="118"/>
        <v>92</v>
      </c>
      <c r="E396" s="111">
        <f>E395</f>
        <v>3.25</v>
      </c>
      <c r="F396" s="131">
        <f>F$373+G$379-SUM(H$378:H395)-SUM(I$378:I395)</f>
        <v>291.59142447293044</v>
      </c>
      <c r="G396" s="114">
        <f t="shared" si="121"/>
        <v>2.3886530388330467</v>
      </c>
      <c r="H396" s="114">
        <f t="shared" si="119"/>
        <v>91.1</v>
      </c>
      <c r="I396" s="115">
        <f t="shared" si="120"/>
        <v>6.0971414909766866</v>
      </c>
      <c r="J396" s="96"/>
    </row>
    <row r="397" spans="1:10" x14ac:dyDescent="0.2">
      <c r="A397" s="123" t="s">
        <v>112</v>
      </c>
      <c r="B397" s="110">
        <f t="shared" si="117"/>
        <v>40179</v>
      </c>
      <c r="C397" s="110">
        <v>40268</v>
      </c>
      <c r="D397" s="111">
        <f t="shared" si="118"/>
        <v>90</v>
      </c>
      <c r="E397" s="111">
        <f>E396</f>
        <v>3.25</v>
      </c>
      <c r="F397" s="131">
        <f>F$373+G$379-SUM(H$378:H396)-SUM(I$378:I396)</f>
        <v>194.39428298195386</v>
      </c>
      <c r="G397" s="114">
        <f t="shared" si="121"/>
        <v>1.5578171992389451</v>
      </c>
      <c r="H397" s="114">
        <f t="shared" si="119"/>
        <v>91.1</v>
      </c>
      <c r="I397" s="115">
        <f t="shared" si="120"/>
        <v>6.0971414909766866</v>
      </c>
      <c r="J397" s="96"/>
    </row>
    <row r="398" spans="1:10" x14ac:dyDescent="0.2">
      <c r="A398" s="123" t="s">
        <v>113</v>
      </c>
      <c r="B398" s="110">
        <f t="shared" si="117"/>
        <v>40269</v>
      </c>
      <c r="C398" s="110">
        <v>40359</v>
      </c>
      <c r="D398" s="111">
        <f t="shared" si="118"/>
        <v>91</v>
      </c>
      <c r="E398" s="111">
        <f>E397</f>
        <v>3.25</v>
      </c>
      <c r="F398" s="131">
        <f>F$373+G$379-SUM(H$378:H397)-SUM(I$378:I397)</f>
        <v>97.197141490977273</v>
      </c>
      <c r="G398" s="114">
        <f t="shared" si="121"/>
        <v>0.78756313961524738</v>
      </c>
      <c r="H398" s="114">
        <f t="shared" si="119"/>
        <v>91.1</v>
      </c>
      <c r="I398" s="115">
        <f t="shared" si="120"/>
        <v>6.0971414909766866</v>
      </c>
      <c r="J398" s="96"/>
    </row>
    <row r="399" spans="1:10" x14ac:dyDescent="0.2">
      <c r="A399" s="124" t="s">
        <v>114</v>
      </c>
      <c r="B399" s="125">
        <f t="shared" si="117"/>
        <v>40360</v>
      </c>
      <c r="C399" s="125">
        <v>40451</v>
      </c>
      <c r="D399" s="126">
        <f t="shared" si="118"/>
        <v>92</v>
      </c>
      <c r="E399" s="126">
        <f>E398</f>
        <v>3.25</v>
      </c>
      <c r="F399" s="132">
        <f>F$373+G$379-SUM(H$378:H398)-SUM(I$378:I398)</f>
        <v>6.8212102632969618E-13</v>
      </c>
      <c r="G399" s="127">
        <f t="shared" si="121"/>
        <v>5.5877859417144984E-15</v>
      </c>
      <c r="H399" s="127">
        <v>0</v>
      </c>
      <c r="I399" s="128">
        <v>0</v>
      </c>
      <c r="J399" s="96"/>
    </row>
    <row r="401" spans="1:10" x14ac:dyDescent="0.2">
      <c r="A401" s="387" t="s">
        <v>66</v>
      </c>
      <c r="B401" s="388"/>
      <c r="C401" s="388"/>
      <c r="D401" s="388"/>
      <c r="E401" s="388"/>
      <c r="F401" s="388"/>
      <c r="G401" s="388"/>
      <c r="H401" s="388"/>
      <c r="I401" s="388"/>
      <c r="J401" s="389"/>
    </row>
    <row r="402" spans="1:10" x14ac:dyDescent="0.2">
      <c r="A402" s="30" t="s">
        <v>10</v>
      </c>
      <c r="B402" s="30" t="s">
        <v>11</v>
      </c>
      <c r="C402" s="30" t="s">
        <v>12</v>
      </c>
      <c r="D402" s="30" t="s">
        <v>13</v>
      </c>
      <c r="E402" s="30" t="s">
        <v>14</v>
      </c>
      <c r="F402" s="30" t="s">
        <v>15</v>
      </c>
      <c r="G402" s="30" t="s">
        <v>16</v>
      </c>
      <c r="H402" s="30"/>
      <c r="I402" s="30"/>
      <c r="J402" s="30" t="s">
        <v>17</v>
      </c>
    </row>
    <row r="403" spans="1:10" ht="51" x14ac:dyDescent="0.2">
      <c r="A403" s="70" t="s">
        <v>18</v>
      </c>
      <c r="B403" s="70" t="s">
        <v>19</v>
      </c>
      <c r="C403" s="70" t="s">
        <v>20</v>
      </c>
      <c r="D403" s="70" t="s">
        <v>21</v>
      </c>
      <c r="E403" s="70" t="s">
        <v>22</v>
      </c>
      <c r="F403" s="70" t="s">
        <v>23</v>
      </c>
      <c r="G403" s="6" t="s">
        <v>130</v>
      </c>
      <c r="H403" s="6" t="s">
        <v>37</v>
      </c>
      <c r="I403" s="6" t="s">
        <v>131</v>
      </c>
      <c r="J403" s="70" t="s">
        <v>25</v>
      </c>
    </row>
    <row r="404" spans="1:10" x14ac:dyDescent="0.2">
      <c r="A404" s="102" t="s">
        <v>44</v>
      </c>
      <c r="B404" s="103">
        <f>B26</f>
        <v>38153</v>
      </c>
      <c r="C404" s="103">
        <v>38168</v>
      </c>
      <c r="D404" s="104">
        <f t="shared" ref="D404:D409" si="122">+C404-B404+1</f>
        <v>16</v>
      </c>
      <c r="E404" s="105">
        <v>4</v>
      </c>
      <c r="F404" s="106">
        <f>E26</f>
        <v>2369</v>
      </c>
      <c r="G404" s="107">
        <f>+D404/366*E404/100*F404</f>
        <v>4.1425136612021856</v>
      </c>
      <c r="H404" s="107"/>
      <c r="I404" s="108"/>
      <c r="J404" s="142">
        <f t="shared" ref="J404:J409" si="123">+F404+G404</f>
        <v>2373.142513661202</v>
      </c>
    </row>
    <row r="405" spans="1:10" x14ac:dyDescent="0.2">
      <c r="A405" s="109" t="s">
        <v>41</v>
      </c>
      <c r="B405" s="110">
        <v>38169</v>
      </c>
      <c r="C405" s="110">
        <v>38260</v>
      </c>
      <c r="D405" s="111">
        <f t="shared" si="122"/>
        <v>92</v>
      </c>
      <c r="E405" s="112">
        <v>4</v>
      </c>
      <c r="F405" s="113">
        <f>+J404</f>
        <v>2373.142513661202</v>
      </c>
      <c r="G405" s="114">
        <f>+D405/366*E405/100*F405</f>
        <v>23.86110505539132</v>
      </c>
      <c r="H405" s="114"/>
      <c r="I405" s="115"/>
      <c r="J405" s="129">
        <f t="shared" si="123"/>
        <v>2397.0036187165933</v>
      </c>
    </row>
    <row r="406" spans="1:10" x14ac:dyDescent="0.2">
      <c r="A406" s="109" t="s">
        <v>45</v>
      </c>
      <c r="B406" s="110">
        <v>38261</v>
      </c>
      <c r="C406" s="110">
        <v>38352</v>
      </c>
      <c r="D406" s="111">
        <f t="shared" si="122"/>
        <v>92</v>
      </c>
      <c r="E406" s="112">
        <v>4.22</v>
      </c>
      <c r="F406" s="113">
        <f>+J405</f>
        <v>2397.0036187165933</v>
      </c>
      <c r="G406" s="114">
        <f>+D406/366*E406/100*F406</f>
        <v>25.426576090998093</v>
      </c>
      <c r="H406" s="114"/>
      <c r="I406" s="115"/>
      <c r="J406" s="129">
        <f t="shared" si="123"/>
        <v>2422.4301948075913</v>
      </c>
    </row>
    <row r="407" spans="1:10" x14ac:dyDescent="0.2">
      <c r="A407" s="109" t="s">
        <v>43</v>
      </c>
      <c r="B407" s="110">
        <v>38353</v>
      </c>
      <c r="C407" s="110">
        <v>38442</v>
      </c>
      <c r="D407" s="111">
        <f t="shared" si="122"/>
        <v>90</v>
      </c>
      <c r="E407" s="112">
        <v>4.75</v>
      </c>
      <c r="F407" s="113">
        <f>+J406</f>
        <v>2422.4301948075913</v>
      </c>
      <c r="G407" s="114">
        <f>+D407/365*E407/100*F407</f>
        <v>28.372298856993023</v>
      </c>
      <c r="H407" s="114"/>
      <c r="I407" s="115"/>
      <c r="J407" s="129">
        <f t="shared" si="123"/>
        <v>2450.8024936645843</v>
      </c>
    </row>
    <row r="408" spans="1:10" x14ac:dyDescent="0.2">
      <c r="A408" s="109" t="s">
        <v>40</v>
      </c>
      <c r="B408" s="110">
        <v>38443</v>
      </c>
      <c r="C408" s="110">
        <v>38533</v>
      </c>
      <c r="D408" s="111">
        <f t="shared" si="122"/>
        <v>91</v>
      </c>
      <c r="E408" s="112">
        <v>5.3</v>
      </c>
      <c r="F408" s="113">
        <f>+J407</f>
        <v>2450.8024936645843</v>
      </c>
      <c r="G408" s="114">
        <f>+D408/365*E408/100*F408</f>
        <v>32.384165553272027</v>
      </c>
      <c r="H408" s="114"/>
      <c r="I408" s="115"/>
      <c r="J408" s="129">
        <f t="shared" si="123"/>
        <v>2483.1866592178562</v>
      </c>
    </row>
    <row r="409" spans="1:10" x14ac:dyDescent="0.2">
      <c r="A409" s="109" t="s">
        <v>42</v>
      </c>
      <c r="B409" s="110">
        <v>38534</v>
      </c>
      <c r="C409" s="110">
        <v>38625</v>
      </c>
      <c r="D409" s="111">
        <f t="shared" si="122"/>
        <v>92</v>
      </c>
      <c r="E409" s="112">
        <v>5.77</v>
      </c>
      <c r="F409" s="113">
        <f>+J408</f>
        <v>2483.1866592178562</v>
      </c>
      <c r="G409" s="114">
        <f>+D409/365*E409/100*F409</f>
        <v>36.114378251485121</v>
      </c>
      <c r="H409" s="114">
        <f>F$404/20</f>
        <v>118.45</v>
      </c>
      <c r="I409" s="115">
        <f>G$410/20</f>
        <v>7.5150518734670895</v>
      </c>
      <c r="J409" s="129">
        <f t="shared" si="123"/>
        <v>2519.3010374693413</v>
      </c>
    </row>
    <row r="410" spans="1:10" x14ac:dyDescent="0.2">
      <c r="A410" s="117"/>
      <c r="B410" s="118"/>
      <c r="C410" s="118"/>
      <c r="D410" s="130"/>
      <c r="E410" s="393" t="s">
        <v>132</v>
      </c>
      <c r="F410" s="394"/>
      <c r="G410" s="120">
        <f>SUM(G404:G409)</f>
        <v>150.30103746934179</v>
      </c>
      <c r="H410" s="120"/>
      <c r="I410" s="121"/>
      <c r="J410" s="135"/>
    </row>
    <row r="411" spans="1:10" x14ac:dyDescent="0.2">
      <c r="A411" s="123" t="s">
        <v>36</v>
      </c>
      <c r="B411" s="110">
        <v>38626</v>
      </c>
      <c r="C411" s="110">
        <v>38717</v>
      </c>
      <c r="D411" s="111">
        <f>+C411-B411+1</f>
        <v>92</v>
      </c>
      <c r="E411" s="122">
        <v>6.23</v>
      </c>
      <c r="F411" s="131">
        <f>F$404+G$410-SUM(H$409:H410)-SUM(I$409:I410)</f>
        <v>2393.3359855958747</v>
      </c>
      <c r="G411" s="114">
        <f>+D411/365*E411/100*F411</f>
        <v>37.582587767236483</v>
      </c>
      <c r="H411" s="114">
        <f t="shared" ref="H411:H419" si="124">F$404/20</f>
        <v>118.45</v>
      </c>
      <c r="I411" s="116">
        <f>G$410/20</f>
        <v>7.5150518734670895</v>
      </c>
      <c r="J411" s="134"/>
    </row>
    <row r="412" spans="1:10" x14ac:dyDescent="0.2">
      <c r="A412" s="109" t="s">
        <v>76</v>
      </c>
      <c r="B412" s="110">
        <f>C411+1</f>
        <v>38718</v>
      </c>
      <c r="C412" s="110">
        <v>38807</v>
      </c>
      <c r="D412" s="111">
        <f t="shared" ref="D412:D419" si="125">+C412-B412+1</f>
        <v>90</v>
      </c>
      <c r="E412" s="112">
        <v>6.78</v>
      </c>
      <c r="F412" s="131">
        <f>F$404+G$410-SUM(H$409:H411)-SUM(I$409:I411)</f>
        <v>2267.3709337224072</v>
      </c>
      <c r="G412" s="114">
        <f t="shared" ref="G412:G419" si="126">+D412/365*E412/100*F412</f>
        <v>37.905472431709939</v>
      </c>
      <c r="H412" s="114">
        <f t="shared" si="124"/>
        <v>118.45</v>
      </c>
      <c r="I412" s="116">
        <f t="shared" ref="I412:I419" si="127">G$410/20</f>
        <v>7.5150518734670895</v>
      </c>
      <c r="J412" s="134"/>
    </row>
    <row r="413" spans="1:10" x14ac:dyDescent="0.2">
      <c r="A413" s="109" t="s">
        <v>77</v>
      </c>
      <c r="B413" s="110">
        <f t="shared" ref="B413:B430" si="128">C412+1</f>
        <v>38808</v>
      </c>
      <c r="C413" s="110">
        <v>38898</v>
      </c>
      <c r="D413" s="111">
        <f t="shared" si="125"/>
        <v>91</v>
      </c>
      <c r="E413" s="112">
        <v>7.3</v>
      </c>
      <c r="F413" s="131">
        <f>F$404+G$410-SUM(H$409:H412)-SUM(I$409:I412)</f>
        <v>2141.4058818489407</v>
      </c>
      <c r="G413" s="114">
        <f t="shared" si="126"/>
        <v>38.973587049650725</v>
      </c>
      <c r="H413" s="114">
        <f t="shared" si="124"/>
        <v>118.45</v>
      </c>
      <c r="I413" s="116">
        <f t="shared" si="127"/>
        <v>7.5150518734670895</v>
      </c>
      <c r="J413" s="134"/>
    </row>
    <row r="414" spans="1:10" x14ac:dyDescent="0.2">
      <c r="A414" s="109" t="s">
        <v>78</v>
      </c>
      <c r="B414" s="110">
        <f t="shared" si="128"/>
        <v>38899</v>
      </c>
      <c r="C414" s="110">
        <v>38990</v>
      </c>
      <c r="D414" s="111">
        <f t="shared" si="125"/>
        <v>92</v>
      </c>
      <c r="E414" s="111">
        <v>7.74</v>
      </c>
      <c r="F414" s="131">
        <f>F$404+G$410-SUM(H$409:H413)-SUM(I$409:I413)</f>
        <v>2015.4408299754734</v>
      </c>
      <c r="G414" s="114">
        <f t="shared" si="126"/>
        <v>39.319317978327</v>
      </c>
      <c r="H414" s="114">
        <f t="shared" si="124"/>
        <v>118.45</v>
      </c>
      <c r="I414" s="116">
        <f t="shared" si="127"/>
        <v>7.5150518734670895</v>
      </c>
      <c r="J414" s="134"/>
    </row>
    <row r="415" spans="1:10" x14ac:dyDescent="0.2">
      <c r="A415" s="109" t="s">
        <v>79</v>
      </c>
      <c r="B415" s="110">
        <f t="shared" si="128"/>
        <v>38991</v>
      </c>
      <c r="C415" s="110">
        <v>39082</v>
      </c>
      <c r="D415" s="111">
        <f t="shared" si="125"/>
        <v>92</v>
      </c>
      <c r="E415" s="111">
        <v>8.17</v>
      </c>
      <c r="F415" s="131">
        <f>F$404+G$410-SUM(H$409:H414)-SUM(I$409:I414)</f>
        <v>1889.4757781020062</v>
      </c>
      <c r="G415" s="114">
        <f t="shared" si="126"/>
        <v>38.909741749386086</v>
      </c>
      <c r="H415" s="114">
        <f t="shared" si="124"/>
        <v>118.45</v>
      </c>
      <c r="I415" s="116">
        <f t="shared" si="127"/>
        <v>7.5150518734670895</v>
      </c>
      <c r="J415" s="134"/>
    </row>
    <row r="416" spans="1:10" x14ac:dyDescent="0.2">
      <c r="A416" s="109" t="s">
        <v>80</v>
      </c>
      <c r="B416" s="110">
        <f t="shared" si="128"/>
        <v>39083</v>
      </c>
      <c r="C416" s="110">
        <v>39172</v>
      </c>
      <c r="D416" s="111">
        <f t="shared" si="125"/>
        <v>90</v>
      </c>
      <c r="E416" s="111">
        <v>8.25</v>
      </c>
      <c r="F416" s="131">
        <f>F$404+G$410-SUM(H$409:H415)-SUM(I$409:I415)</f>
        <v>1763.5107262285392</v>
      </c>
      <c r="G416" s="114">
        <f t="shared" si="126"/>
        <v>35.874156554101106</v>
      </c>
      <c r="H416" s="114">
        <f t="shared" si="124"/>
        <v>118.45</v>
      </c>
      <c r="I416" s="116">
        <f t="shared" si="127"/>
        <v>7.5150518734670895</v>
      </c>
      <c r="J416" s="134"/>
    </row>
    <row r="417" spans="1:10" x14ac:dyDescent="0.2">
      <c r="A417" s="109" t="s">
        <v>81</v>
      </c>
      <c r="B417" s="110">
        <f t="shared" si="128"/>
        <v>39173</v>
      </c>
      <c r="C417" s="110">
        <v>39263</v>
      </c>
      <c r="D417" s="111">
        <f t="shared" si="125"/>
        <v>91</v>
      </c>
      <c r="E417" s="111">
        <v>8.25</v>
      </c>
      <c r="F417" s="131">
        <f>F$404+G$410-SUM(H$409:H416)-SUM(I$409:I416)</f>
        <v>1637.5456743550719</v>
      </c>
      <c r="G417" s="114">
        <f t="shared" si="126"/>
        <v>33.681846986906038</v>
      </c>
      <c r="H417" s="114">
        <f t="shared" si="124"/>
        <v>118.45</v>
      </c>
      <c r="I417" s="116">
        <f t="shared" si="127"/>
        <v>7.5150518734670895</v>
      </c>
      <c r="J417" s="134"/>
    </row>
    <row r="418" spans="1:10" x14ac:dyDescent="0.2">
      <c r="A418" s="109" t="s">
        <v>82</v>
      </c>
      <c r="B418" s="110">
        <f t="shared" si="128"/>
        <v>39264</v>
      </c>
      <c r="C418" s="110">
        <v>39355</v>
      </c>
      <c r="D418" s="111">
        <f t="shared" si="125"/>
        <v>92</v>
      </c>
      <c r="E418" s="111">
        <v>8.25</v>
      </c>
      <c r="F418" s="131">
        <f>F$404+G$410-SUM(H$409:H417)-SUM(I$409:I417)</f>
        <v>1511.5806224816049</v>
      </c>
      <c r="G418" s="114">
        <f t="shared" si="126"/>
        <v>31.43259431406954</v>
      </c>
      <c r="H418" s="114">
        <f t="shared" si="124"/>
        <v>118.45</v>
      </c>
      <c r="I418" s="116">
        <f t="shared" si="127"/>
        <v>7.5150518734670895</v>
      </c>
      <c r="J418" s="134"/>
    </row>
    <row r="419" spans="1:10" x14ac:dyDescent="0.2">
      <c r="A419" s="123" t="s">
        <v>83</v>
      </c>
      <c r="B419" s="110">
        <f t="shared" si="128"/>
        <v>39356</v>
      </c>
      <c r="C419" s="110">
        <v>39447</v>
      </c>
      <c r="D419" s="111">
        <f t="shared" si="125"/>
        <v>92</v>
      </c>
      <c r="E419" s="111">
        <v>8.25</v>
      </c>
      <c r="F419" s="131">
        <f>F$404+G$410-SUM(H$409:H418)-SUM(I$409:I418)</f>
        <v>1385.6155706081377</v>
      </c>
      <c r="G419" s="114">
        <f t="shared" si="126"/>
        <v>28.813211454563742</v>
      </c>
      <c r="H419" s="114">
        <f t="shared" si="124"/>
        <v>118.45</v>
      </c>
      <c r="I419" s="116">
        <f t="shared" si="127"/>
        <v>7.5150518734670895</v>
      </c>
      <c r="J419" s="134"/>
    </row>
    <row r="420" spans="1:10" x14ac:dyDescent="0.2">
      <c r="A420" s="123" t="s">
        <v>105</v>
      </c>
      <c r="B420" s="110">
        <f t="shared" si="128"/>
        <v>39448</v>
      </c>
      <c r="C420" s="110">
        <v>39538</v>
      </c>
      <c r="D420" s="111">
        <f t="shared" ref="D420:D430" si="129">+C420-B420+1</f>
        <v>91</v>
      </c>
      <c r="E420" s="111">
        <v>7.76</v>
      </c>
      <c r="F420" s="131">
        <f>F$404+G$410-SUM(H$409:H419)-SUM(I$409:I419)</f>
        <v>1259.6505187346706</v>
      </c>
      <c r="G420" s="114">
        <f>+D420/366*E420/100*F420</f>
        <v>24.3036833417944</v>
      </c>
      <c r="H420" s="114">
        <f t="shared" ref="H420:H429" si="130">F$404/20</f>
        <v>118.45</v>
      </c>
      <c r="I420" s="115">
        <f t="shared" ref="I420:I429" si="131">G$410/20</f>
        <v>7.5150518734670895</v>
      </c>
      <c r="J420" s="96"/>
    </row>
    <row r="421" spans="1:10" x14ac:dyDescent="0.2">
      <c r="A421" s="123" t="s">
        <v>106</v>
      </c>
      <c r="B421" s="110">
        <f t="shared" si="128"/>
        <v>39539</v>
      </c>
      <c r="C421" s="110">
        <v>39629</v>
      </c>
      <c r="D421" s="111">
        <f t="shared" si="129"/>
        <v>91</v>
      </c>
      <c r="E421" s="111">
        <v>6.77</v>
      </c>
      <c r="F421" s="131">
        <f>F$404+G$410-SUM(H$409:H420)-SUM(I$409:I420)</f>
        <v>1133.6854668612034</v>
      </c>
      <c r="G421" s="114">
        <f>+D421/366*E421/100*F421</f>
        <v>19.082776108447582</v>
      </c>
      <c r="H421" s="114">
        <f t="shared" si="130"/>
        <v>118.45</v>
      </c>
      <c r="I421" s="115">
        <f t="shared" si="131"/>
        <v>7.5150518734670895</v>
      </c>
      <c r="J421" s="96"/>
    </row>
    <row r="422" spans="1:10" x14ac:dyDescent="0.2">
      <c r="A422" s="123" t="s">
        <v>107</v>
      </c>
      <c r="B422" s="110">
        <f t="shared" si="128"/>
        <v>39630</v>
      </c>
      <c r="C422" s="110">
        <v>39721</v>
      </c>
      <c r="D422" s="111">
        <f t="shared" si="129"/>
        <v>92</v>
      </c>
      <c r="E422" s="111">
        <v>5.3</v>
      </c>
      <c r="F422" s="131">
        <f>F$404+G$410-SUM(H$409:H421)-SUM(I$409:I421)</f>
        <v>1007.7204149877364</v>
      </c>
      <c r="G422" s="114">
        <f>+D422/366*E422/100*F422</f>
        <v>13.425258861967768</v>
      </c>
      <c r="H422" s="114">
        <f t="shared" si="130"/>
        <v>118.45</v>
      </c>
      <c r="I422" s="115">
        <f t="shared" si="131"/>
        <v>7.5150518734670895</v>
      </c>
      <c r="J422" s="96"/>
    </row>
    <row r="423" spans="1:10" x14ac:dyDescent="0.2">
      <c r="A423" s="123" t="s">
        <v>100</v>
      </c>
      <c r="B423" s="110">
        <f t="shared" si="128"/>
        <v>39722</v>
      </c>
      <c r="C423" s="110">
        <v>39813</v>
      </c>
      <c r="D423" s="111">
        <f t="shared" si="129"/>
        <v>92</v>
      </c>
      <c r="E423" s="111">
        <v>5</v>
      </c>
      <c r="F423" s="131">
        <f>F$404+G$410-SUM(H$409:H422)-SUM(I$409:I422)</f>
        <v>881.75536311426924</v>
      </c>
      <c r="G423" s="114">
        <f>+D423/366*E423/100*F423</f>
        <v>11.08217123039792</v>
      </c>
      <c r="H423" s="114">
        <f t="shared" si="130"/>
        <v>118.45</v>
      </c>
      <c r="I423" s="115">
        <f t="shared" si="131"/>
        <v>7.5150518734670895</v>
      </c>
      <c r="J423" s="96"/>
    </row>
    <row r="424" spans="1:10" x14ac:dyDescent="0.2">
      <c r="A424" s="123" t="s">
        <v>108</v>
      </c>
      <c r="B424" s="110">
        <f t="shared" si="128"/>
        <v>39814</v>
      </c>
      <c r="C424" s="110">
        <v>39903</v>
      </c>
      <c r="D424" s="111">
        <f t="shared" si="129"/>
        <v>90</v>
      </c>
      <c r="E424" s="111">
        <v>4.5199999999999996</v>
      </c>
      <c r="F424" s="131">
        <f>F$404+G$410-SUM(H$409:H423)-SUM(I$409:I423)</f>
        <v>755.79031124080211</v>
      </c>
      <c r="G424" s="114">
        <f t="shared" ref="G424:G430" si="132">+D424/365*E424/100*F424</f>
        <v>8.4234383181577606</v>
      </c>
      <c r="H424" s="114">
        <f t="shared" si="130"/>
        <v>118.45</v>
      </c>
      <c r="I424" s="115">
        <f t="shared" si="131"/>
        <v>7.5150518734670895</v>
      </c>
      <c r="J424" s="96"/>
    </row>
    <row r="425" spans="1:10" x14ac:dyDescent="0.2">
      <c r="A425" s="123" t="s">
        <v>109</v>
      </c>
      <c r="B425" s="110">
        <f t="shared" si="128"/>
        <v>39904</v>
      </c>
      <c r="C425" s="110">
        <v>39994</v>
      </c>
      <c r="D425" s="111">
        <f t="shared" si="129"/>
        <v>91</v>
      </c>
      <c r="E425" s="111">
        <v>3.37</v>
      </c>
      <c r="F425" s="131">
        <f>F$404+G$410-SUM(H$409:H424)-SUM(I$409:I424)</f>
        <v>629.82525936733498</v>
      </c>
      <c r="G425" s="114">
        <f t="shared" si="132"/>
        <v>5.2917400627446742</v>
      </c>
      <c r="H425" s="114">
        <f t="shared" si="130"/>
        <v>118.45</v>
      </c>
      <c r="I425" s="115">
        <f t="shared" si="131"/>
        <v>7.5150518734670895</v>
      </c>
      <c r="J425" s="96"/>
    </row>
    <row r="426" spans="1:10" x14ac:dyDescent="0.2">
      <c r="A426" s="123" t="s">
        <v>111</v>
      </c>
      <c r="B426" s="110">
        <f t="shared" si="128"/>
        <v>39995</v>
      </c>
      <c r="C426" s="110">
        <v>40086</v>
      </c>
      <c r="D426" s="111">
        <f t="shared" si="129"/>
        <v>92</v>
      </c>
      <c r="E426" s="111">
        <v>3.25</v>
      </c>
      <c r="F426" s="131">
        <f>F$404+G$410-SUM(H$409:H425)-SUM(I$409:I425)</f>
        <v>503.86020749386785</v>
      </c>
      <c r="G426" s="114">
        <f t="shared" si="132"/>
        <v>4.1275123846757946</v>
      </c>
      <c r="H426" s="114">
        <f t="shared" si="130"/>
        <v>118.45</v>
      </c>
      <c r="I426" s="115">
        <f t="shared" si="131"/>
        <v>7.5150518734670895</v>
      </c>
      <c r="J426" s="96"/>
    </row>
    <row r="427" spans="1:10" x14ac:dyDescent="0.2">
      <c r="A427" s="123" t="s">
        <v>101</v>
      </c>
      <c r="B427" s="110">
        <f t="shared" si="128"/>
        <v>40087</v>
      </c>
      <c r="C427" s="110">
        <v>40178</v>
      </c>
      <c r="D427" s="111">
        <f t="shared" si="129"/>
        <v>92</v>
      </c>
      <c r="E427" s="111">
        <f>E426</f>
        <v>3.25</v>
      </c>
      <c r="F427" s="131">
        <f>F$404+G$410-SUM(H$409:H426)-SUM(I$409:I426)</f>
        <v>377.89515562040071</v>
      </c>
      <c r="G427" s="114">
        <f t="shared" si="132"/>
        <v>3.0956342885068446</v>
      </c>
      <c r="H427" s="114">
        <f t="shared" si="130"/>
        <v>118.45</v>
      </c>
      <c r="I427" s="115">
        <f t="shared" si="131"/>
        <v>7.5150518734670895</v>
      </c>
      <c r="J427" s="96"/>
    </row>
    <row r="428" spans="1:10" x14ac:dyDescent="0.2">
      <c r="A428" s="123" t="s">
        <v>112</v>
      </c>
      <c r="B428" s="110">
        <f t="shared" si="128"/>
        <v>40179</v>
      </c>
      <c r="C428" s="110">
        <v>40268</v>
      </c>
      <c r="D428" s="111">
        <f t="shared" si="129"/>
        <v>90</v>
      </c>
      <c r="E428" s="111">
        <f>E427</f>
        <v>3.25</v>
      </c>
      <c r="F428" s="131">
        <f>F$404+G$410-SUM(H$409:H427)-SUM(I$409:I427)</f>
        <v>251.93010374693378</v>
      </c>
      <c r="G428" s="114">
        <f t="shared" si="132"/>
        <v>2.018891927287072</v>
      </c>
      <c r="H428" s="114">
        <f t="shared" si="130"/>
        <v>118.45</v>
      </c>
      <c r="I428" s="115">
        <f t="shared" si="131"/>
        <v>7.5150518734670895</v>
      </c>
      <c r="J428" s="96"/>
    </row>
    <row r="429" spans="1:10" x14ac:dyDescent="0.2">
      <c r="A429" s="123" t="s">
        <v>113</v>
      </c>
      <c r="B429" s="110">
        <f t="shared" si="128"/>
        <v>40269</v>
      </c>
      <c r="C429" s="110">
        <v>40359</v>
      </c>
      <c r="D429" s="111">
        <f t="shared" si="129"/>
        <v>91</v>
      </c>
      <c r="E429" s="111">
        <f>E428</f>
        <v>3.25</v>
      </c>
      <c r="F429" s="131">
        <f>F$404+G$410-SUM(H$409:H428)-SUM(I$409:I428)</f>
        <v>125.96505187346688</v>
      </c>
      <c r="G429" s="114">
        <f t="shared" si="132"/>
        <v>1.0206620299062419</v>
      </c>
      <c r="H429" s="114">
        <f t="shared" si="130"/>
        <v>118.45</v>
      </c>
      <c r="I429" s="115">
        <f t="shared" si="131"/>
        <v>7.5150518734670895</v>
      </c>
      <c r="J429" s="96"/>
    </row>
    <row r="430" spans="1:10" x14ac:dyDescent="0.2">
      <c r="A430" s="124" t="s">
        <v>114</v>
      </c>
      <c r="B430" s="125">
        <f t="shared" si="128"/>
        <v>40360</v>
      </c>
      <c r="C430" s="125">
        <v>40451</v>
      </c>
      <c r="D430" s="126">
        <f t="shared" si="129"/>
        <v>92</v>
      </c>
      <c r="E430" s="126">
        <f>E429</f>
        <v>3.25</v>
      </c>
      <c r="F430" s="133">
        <f>F$404+G$410-SUM(H$409:H429)-SUM(I$409:I429)</f>
        <v>0</v>
      </c>
      <c r="G430" s="127">
        <f t="shared" si="132"/>
        <v>0</v>
      </c>
      <c r="H430" s="127">
        <v>0</v>
      </c>
      <c r="I430" s="128">
        <v>0</v>
      </c>
      <c r="J430" s="96"/>
    </row>
    <row r="432" spans="1:10" x14ac:dyDescent="0.2">
      <c r="A432" s="387" t="s">
        <v>67</v>
      </c>
      <c r="B432" s="388"/>
      <c r="C432" s="388"/>
      <c r="D432" s="388"/>
      <c r="E432" s="388"/>
      <c r="F432" s="388"/>
      <c r="G432" s="388"/>
      <c r="H432" s="388"/>
      <c r="I432" s="388"/>
      <c r="J432" s="389"/>
    </row>
    <row r="433" spans="1:10" x14ac:dyDescent="0.2">
      <c r="A433" s="30" t="s">
        <v>10</v>
      </c>
      <c r="B433" s="30" t="s">
        <v>11</v>
      </c>
      <c r="C433" s="30" t="s">
        <v>12</v>
      </c>
      <c r="D433" s="30" t="s">
        <v>13</v>
      </c>
      <c r="E433" s="30" t="s">
        <v>14</v>
      </c>
      <c r="F433" s="30" t="s">
        <v>15</v>
      </c>
      <c r="G433" s="30" t="s">
        <v>16</v>
      </c>
      <c r="H433" s="30"/>
      <c r="I433" s="30"/>
      <c r="J433" s="30" t="s">
        <v>17</v>
      </c>
    </row>
    <row r="434" spans="1:10" ht="51" x14ac:dyDescent="0.2">
      <c r="A434" s="70" t="s">
        <v>18</v>
      </c>
      <c r="B434" s="70" t="s">
        <v>19</v>
      </c>
      <c r="C434" s="70" t="s">
        <v>20</v>
      </c>
      <c r="D434" s="70" t="s">
        <v>21</v>
      </c>
      <c r="E434" s="70" t="s">
        <v>22</v>
      </c>
      <c r="F434" s="70" t="s">
        <v>23</v>
      </c>
      <c r="G434" s="6" t="s">
        <v>130</v>
      </c>
      <c r="H434" s="6" t="s">
        <v>37</v>
      </c>
      <c r="I434" s="6" t="s">
        <v>131</v>
      </c>
      <c r="J434" s="70" t="s">
        <v>25</v>
      </c>
    </row>
    <row r="435" spans="1:10" x14ac:dyDescent="0.2">
      <c r="A435" s="102" t="s">
        <v>41</v>
      </c>
      <c r="B435" s="103">
        <f>B27</f>
        <v>38183</v>
      </c>
      <c r="C435" s="103">
        <v>38260</v>
      </c>
      <c r="D435" s="104">
        <f>+C435-B435+1</f>
        <v>78</v>
      </c>
      <c r="E435" s="105">
        <v>4</v>
      </c>
      <c r="F435" s="106">
        <f>E27</f>
        <v>7288</v>
      </c>
      <c r="G435" s="107">
        <f>+D435/366*E435/100*F435</f>
        <v>62.127213114754092</v>
      </c>
      <c r="H435" s="107"/>
      <c r="I435" s="108"/>
      <c r="J435" s="142">
        <f>+F435+G435</f>
        <v>7350.1272131147543</v>
      </c>
    </row>
    <row r="436" spans="1:10" x14ac:dyDescent="0.2">
      <c r="A436" s="109" t="s">
        <v>45</v>
      </c>
      <c r="B436" s="110">
        <v>38261</v>
      </c>
      <c r="C436" s="110">
        <v>38352</v>
      </c>
      <c r="D436" s="111">
        <f>+C436-B436+1</f>
        <v>92</v>
      </c>
      <c r="E436" s="112">
        <v>4.22</v>
      </c>
      <c r="F436" s="113">
        <f>+J435</f>
        <v>7350.1272131147543</v>
      </c>
      <c r="G436" s="114">
        <f>+D436/366*E436/100*F436</f>
        <v>77.967578940428197</v>
      </c>
      <c r="H436" s="114"/>
      <c r="I436" s="115"/>
      <c r="J436" s="129">
        <f>+F436+G436</f>
        <v>7428.0947920551826</v>
      </c>
    </row>
    <row r="437" spans="1:10" x14ac:dyDescent="0.2">
      <c r="A437" s="109" t="s">
        <v>43</v>
      </c>
      <c r="B437" s="110">
        <v>38353</v>
      </c>
      <c r="C437" s="110">
        <v>38442</v>
      </c>
      <c r="D437" s="111">
        <f>+C437-B437+1</f>
        <v>90</v>
      </c>
      <c r="E437" s="112">
        <v>4.75</v>
      </c>
      <c r="F437" s="113">
        <f>+J436</f>
        <v>7428.0947920551826</v>
      </c>
      <c r="G437" s="114">
        <f>+D437/365*E437/100*F437</f>
        <v>87.000288317906595</v>
      </c>
      <c r="H437" s="114"/>
      <c r="I437" s="115"/>
      <c r="J437" s="129">
        <f>+F437+G437</f>
        <v>7515.0950803730893</v>
      </c>
    </row>
    <row r="438" spans="1:10" x14ac:dyDescent="0.2">
      <c r="A438" s="109" t="s">
        <v>40</v>
      </c>
      <c r="B438" s="110">
        <v>38443</v>
      </c>
      <c r="C438" s="110">
        <v>38533</v>
      </c>
      <c r="D438" s="111">
        <f>+C438-B438+1</f>
        <v>91</v>
      </c>
      <c r="E438" s="112">
        <v>5.3</v>
      </c>
      <c r="F438" s="113">
        <f>+J437</f>
        <v>7515.0950803730893</v>
      </c>
      <c r="G438" s="114">
        <f>+D438/365*E438/100*F438</f>
        <v>99.302201568875091</v>
      </c>
      <c r="H438" s="114"/>
      <c r="I438" s="115"/>
      <c r="J438" s="129">
        <f>+F438+G438</f>
        <v>7614.3972819419641</v>
      </c>
    </row>
    <row r="439" spans="1:10" x14ac:dyDescent="0.2">
      <c r="A439" s="109" t="s">
        <v>42</v>
      </c>
      <c r="B439" s="110">
        <v>38534</v>
      </c>
      <c r="C439" s="110">
        <v>38625</v>
      </c>
      <c r="D439" s="111">
        <f>+C439-B439+1</f>
        <v>92</v>
      </c>
      <c r="E439" s="112">
        <v>5.77</v>
      </c>
      <c r="F439" s="113">
        <f>+J438</f>
        <v>7614.3972819419641</v>
      </c>
      <c r="G439" s="114">
        <f>+D439/365*E439/100*F439</f>
        <v>110.74045625057732</v>
      </c>
      <c r="H439" s="114">
        <f>F$435/20</f>
        <v>364.4</v>
      </c>
      <c r="I439" s="115">
        <f>G$440/20</f>
        <v>21.856886909627065</v>
      </c>
      <c r="J439" s="129">
        <f>+F439+G439</f>
        <v>7725.1377381925413</v>
      </c>
    </row>
    <row r="440" spans="1:10" x14ac:dyDescent="0.2">
      <c r="A440" s="117"/>
      <c r="B440" s="118"/>
      <c r="C440" s="118"/>
      <c r="D440" s="130"/>
      <c r="E440" s="393" t="s">
        <v>132</v>
      </c>
      <c r="F440" s="394"/>
      <c r="G440" s="120">
        <f>SUM(G435:G439)</f>
        <v>437.13773819254129</v>
      </c>
      <c r="H440" s="120"/>
      <c r="I440" s="121"/>
      <c r="J440" s="135"/>
    </row>
    <row r="441" spans="1:10" x14ac:dyDescent="0.2">
      <c r="A441" s="123" t="s">
        <v>36</v>
      </c>
      <c r="B441" s="110">
        <v>38626</v>
      </c>
      <c r="C441" s="110">
        <v>38717</v>
      </c>
      <c r="D441" s="111">
        <f>+C441-B441+1</f>
        <v>92</v>
      </c>
      <c r="E441" s="122">
        <v>6.23</v>
      </c>
      <c r="F441" s="131">
        <f>F$435+G$440-SUM(H$439:H440)-SUM(I$439:I440)</f>
        <v>7338.8808512829146</v>
      </c>
      <c r="G441" s="114">
        <f>+D441/365*E441/100*F441</f>
        <v>115.24254654031002</v>
      </c>
      <c r="H441" s="114">
        <f>F$435/20</f>
        <v>364.4</v>
      </c>
      <c r="I441" s="116">
        <f t="shared" ref="I441:I449" si="133">G$440/20</f>
        <v>21.856886909627065</v>
      </c>
      <c r="J441" s="134"/>
    </row>
    <row r="442" spans="1:10" x14ac:dyDescent="0.2">
      <c r="A442" s="109" t="s">
        <v>76</v>
      </c>
      <c r="B442" s="110">
        <f>C441+1</f>
        <v>38718</v>
      </c>
      <c r="C442" s="110">
        <v>38807</v>
      </c>
      <c r="D442" s="111">
        <f t="shared" ref="D442:D449" si="134">+C442-B442+1</f>
        <v>90</v>
      </c>
      <c r="E442" s="112">
        <v>6.78</v>
      </c>
      <c r="F442" s="131">
        <f>F$435+G$440-SUM(H$439:H441)-SUM(I$439:I441)</f>
        <v>6952.623964373287</v>
      </c>
      <c r="G442" s="114">
        <f t="shared" ref="G442:G449" si="135">+D442/365*E442/100*F442</f>
        <v>116.23263405645422</v>
      </c>
      <c r="H442" s="114">
        <f t="shared" ref="H442:H449" si="136">F$435/20</f>
        <v>364.4</v>
      </c>
      <c r="I442" s="116">
        <f t="shared" si="133"/>
        <v>21.856886909627065</v>
      </c>
      <c r="J442" s="134"/>
    </row>
    <row r="443" spans="1:10" x14ac:dyDescent="0.2">
      <c r="A443" s="109" t="s">
        <v>77</v>
      </c>
      <c r="B443" s="110">
        <f t="shared" ref="B443:B460" si="137">C442+1</f>
        <v>38808</v>
      </c>
      <c r="C443" s="110">
        <v>38898</v>
      </c>
      <c r="D443" s="111">
        <f t="shared" si="134"/>
        <v>91</v>
      </c>
      <c r="E443" s="112">
        <v>7.3</v>
      </c>
      <c r="F443" s="131">
        <f>F$435+G$440-SUM(H$439:H442)-SUM(I$439:I442)</f>
        <v>6566.3670774636603</v>
      </c>
      <c r="G443" s="114">
        <f t="shared" si="135"/>
        <v>119.50788080983862</v>
      </c>
      <c r="H443" s="114">
        <f t="shared" si="136"/>
        <v>364.4</v>
      </c>
      <c r="I443" s="116">
        <f t="shared" si="133"/>
        <v>21.856886909627065</v>
      </c>
      <c r="J443" s="134"/>
    </row>
    <row r="444" spans="1:10" x14ac:dyDescent="0.2">
      <c r="A444" s="109" t="s">
        <v>78</v>
      </c>
      <c r="B444" s="110">
        <f t="shared" si="137"/>
        <v>38899</v>
      </c>
      <c r="C444" s="110">
        <v>38990</v>
      </c>
      <c r="D444" s="111">
        <f t="shared" si="134"/>
        <v>92</v>
      </c>
      <c r="E444" s="111">
        <v>7.74</v>
      </c>
      <c r="F444" s="131">
        <f>F$435+G$440-SUM(H$439:H443)-SUM(I$439:I443)</f>
        <v>6180.1101905540327</v>
      </c>
      <c r="G444" s="114">
        <f t="shared" si="135"/>
        <v>120.56802368464977</v>
      </c>
      <c r="H444" s="114">
        <f t="shared" si="136"/>
        <v>364.4</v>
      </c>
      <c r="I444" s="116">
        <f t="shared" si="133"/>
        <v>21.856886909627065</v>
      </c>
      <c r="J444" s="134"/>
    </row>
    <row r="445" spans="1:10" x14ac:dyDescent="0.2">
      <c r="A445" s="109" t="s">
        <v>79</v>
      </c>
      <c r="B445" s="110">
        <f t="shared" si="137"/>
        <v>38991</v>
      </c>
      <c r="C445" s="110">
        <v>39082</v>
      </c>
      <c r="D445" s="111">
        <f t="shared" si="134"/>
        <v>92</v>
      </c>
      <c r="E445" s="111">
        <v>8.17</v>
      </c>
      <c r="F445" s="131">
        <f>F$435+G$440-SUM(H$439:H444)-SUM(I$439:I444)</f>
        <v>5793.853303644406</v>
      </c>
      <c r="G445" s="114">
        <f t="shared" si="135"/>
        <v>119.31210677126799</v>
      </c>
      <c r="H445" s="114">
        <f t="shared" si="136"/>
        <v>364.4</v>
      </c>
      <c r="I445" s="116">
        <f t="shared" si="133"/>
        <v>21.856886909627065</v>
      </c>
      <c r="J445" s="134"/>
    </row>
    <row r="446" spans="1:10" x14ac:dyDescent="0.2">
      <c r="A446" s="109" t="s">
        <v>80</v>
      </c>
      <c r="B446" s="110">
        <f t="shared" si="137"/>
        <v>39083</v>
      </c>
      <c r="C446" s="110">
        <v>39172</v>
      </c>
      <c r="D446" s="111">
        <f t="shared" si="134"/>
        <v>90</v>
      </c>
      <c r="E446" s="111">
        <v>8.25</v>
      </c>
      <c r="F446" s="131">
        <f>F$435+G$440-SUM(H$439:H445)-SUM(I$439:I445)</f>
        <v>5407.5964167347793</v>
      </c>
      <c r="G446" s="114">
        <f t="shared" si="135"/>
        <v>110.00384491576914</v>
      </c>
      <c r="H446" s="114">
        <f t="shared" si="136"/>
        <v>364.4</v>
      </c>
      <c r="I446" s="116">
        <f t="shared" si="133"/>
        <v>21.856886909627065</v>
      </c>
      <c r="J446" s="134"/>
    </row>
    <row r="447" spans="1:10" x14ac:dyDescent="0.2">
      <c r="A447" s="109" t="s">
        <v>81</v>
      </c>
      <c r="B447" s="110">
        <f t="shared" si="137"/>
        <v>39173</v>
      </c>
      <c r="C447" s="110">
        <v>39263</v>
      </c>
      <c r="D447" s="111">
        <f t="shared" si="134"/>
        <v>91</v>
      </c>
      <c r="E447" s="111">
        <v>8.25</v>
      </c>
      <c r="F447" s="131">
        <f>F$435+G$440-SUM(H$439:H446)-SUM(I$439:I446)</f>
        <v>5021.3395298251517</v>
      </c>
      <c r="G447" s="114">
        <f t="shared" si="135"/>
        <v>103.28138772647213</v>
      </c>
      <c r="H447" s="114">
        <f t="shared" si="136"/>
        <v>364.4</v>
      </c>
      <c r="I447" s="116">
        <f t="shared" si="133"/>
        <v>21.856886909627065</v>
      </c>
      <c r="J447" s="134"/>
    </row>
    <row r="448" spans="1:10" x14ac:dyDescent="0.2">
      <c r="A448" s="109" t="s">
        <v>82</v>
      </c>
      <c r="B448" s="110">
        <f t="shared" si="137"/>
        <v>39264</v>
      </c>
      <c r="C448" s="110">
        <v>39355</v>
      </c>
      <c r="D448" s="111">
        <f t="shared" si="134"/>
        <v>92</v>
      </c>
      <c r="E448" s="111">
        <v>8.25</v>
      </c>
      <c r="F448" s="131">
        <f>F$435+G$440-SUM(H$439:H447)-SUM(I$439:I447)</f>
        <v>4635.082642915524</v>
      </c>
      <c r="G448" s="114">
        <f t="shared" si="135"/>
        <v>96.384321259531035</v>
      </c>
      <c r="H448" s="114">
        <f t="shared" si="136"/>
        <v>364.4</v>
      </c>
      <c r="I448" s="116">
        <f t="shared" si="133"/>
        <v>21.856886909627065</v>
      </c>
      <c r="J448" s="134"/>
    </row>
    <row r="449" spans="1:10" x14ac:dyDescent="0.2">
      <c r="A449" s="123" t="s">
        <v>83</v>
      </c>
      <c r="B449" s="110">
        <f t="shared" si="137"/>
        <v>39356</v>
      </c>
      <c r="C449" s="110">
        <v>39447</v>
      </c>
      <c r="D449" s="111">
        <f t="shared" si="134"/>
        <v>92</v>
      </c>
      <c r="E449" s="111">
        <v>8.25</v>
      </c>
      <c r="F449" s="131">
        <f>F$435+G$440-SUM(H$439:H448)-SUM(I$439:I448)</f>
        <v>4248.8257560058973</v>
      </c>
      <c r="G449" s="114">
        <f t="shared" si="135"/>
        <v>88.352294487903464</v>
      </c>
      <c r="H449" s="114">
        <f t="shared" si="136"/>
        <v>364.4</v>
      </c>
      <c r="I449" s="116">
        <f t="shared" si="133"/>
        <v>21.856886909627065</v>
      </c>
      <c r="J449" s="134"/>
    </row>
    <row r="450" spans="1:10" x14ac:dyDescent="0.2">
      <c r="A450" s="123" t="s">
        <v>105</v>
      </c>
      <c r="B450" s="110">
        <f t="shared" si="137"/>
        <v>39448</v>
      </c>
      <c r="C450" s="110">
        <v>39538</v>
      </c>
      <c r="D450" s="111">
        <f t="shared" ref="D450:D460" si="138">+C450-B450+1</f>
        <v>91</v>
      </c>
      <c r="E450" s="111">
        <v>7.76</v>
      </c>
      <c r="F450" s="131">
        <f>F$435+G$440-SUM(H$439:H449)-SUM(I$439:I449)</f>
        <v>3862.5688690962702</v>
      </c>
      <c r="G450" s="114">
        <f>+D450/366*E450/100*F450</f>
        <v>74.524361546476015</v>
      </c>
      <c r="H450" s="114">
        <f t="shared" ref="H450:H459" si="139">F$435/20</f>
        <v>364.4</v>
      </c>
      <c r="I450" s="115">
        <f t="shared" ref="I450:I459" si="140">G$440/20</f>
        <v>21.856886909627065</v>
      </c>
      <c r="J450" s="96"/>
    </row>
    <row r="451" spans="1:10" x14ac:dyDescent="0.2">
      <c r="A451" s="123" t="s">
        <v>106</v>
      </c>
      <c r="B451" s="110">
        <f t="shared" si="137"/>
        <v>39539</v>
      </c>
      <c r="C451" s="110">
        <v>39629</v>
      </c>
      <c r="D451" s="111">
        <f t="shared" si="138"/>
        <v>91</v>
      </c>
      <c r="E451" s="111">
        <v>6.77</v>
      </c>
      <c r="F451" s="131">
        <f>F$435+G$440-SUM(H$439:H450)-SUM(I$439:I450)</f>
        <v>3476.311982186643</v>
      </c>
      <c r="G451" s="114">
        <f>+D451/366*E451/100*F451</f>
        <v>58.515068930757508</v>
      </c>
      <c r="H451" s="114">
        <f t="shared" si="139"/>
        <v>364.4</v>
      </c>
      <c r="I451" s="115">
        <f t="shared" si="140"/>
        <v>21.856886909627065</v>
      </c>
      <c r="J451" s="96"/>
    </row>
    <row r="452" spans="1:10" x14ac:dyDescent="0.2">
      <c r="A452" s="123" t="s">
        <v>107</v>
      </c>
      <c r="B452" s="110">
        <f t="shared" si="137"/>
        <v>39630</v>
      </c>
      <c r="C452" s="110">
        <v>39721</v>
      </c>
      <c r="D452" s="111">
        <f t="shared" si="138"/>
        <v>92</v>
      </c>
      <c r="E452" s="111">
        <v>5.3</v>
      </c>
      <c r="F452" s="131">
        <f>F$435+G$440-SUM(H$439:H451)-SUM(I$439:I451)</f>
        <v>3090.0550952770163</v>
      </c>
      <c r="G452" s="114">
        <f>+D452/366*E452/100*F452</f>
        <v>41.166963509756101</v>
      </c>
      <c r="H452" s="114">
        <f t="shared" si="139"/>
        <v>364.4</v>
      </c>
      <c r="I452" s="115">
        <f t="shared" si="140"/>
        <v>21.856886909627065</v>
      </c>
      <c r="J452" s="96"/>
    </row>
    <row r="453" spans="1:10" x14ac:dyDescent="0.2">
      <c r="A453" s="123" t="s">
        <v>100</v>
      </c>
      <c r="B453" s="110">
        <f t="shared" si="137"/>
        <v>39722</v>
      </c>
      <c r="C453" s="110">
        <v>39813</v>
      </c>
      <c r="D453" s="111">
        <f t="shared" si="138"/>
        <v>92</v>
      </c>
      <c r="E453" s="111">
        <v>5</v>
      </c>
      <c r="F453" s="131">
        <f>F$435+G$440-SUM(H$439:H452)-SUM(I$439:I452)</f>
        <v>2703.7982083673896</v>
      </c>
      <c r="G453" s="114">
        <f>+D453/366*E453/100*F453</f>
        <v>33.982163274562822</v>
      </c>
      <c r="H453" s="114">
        <f t="shared" si="139"/>
        <v>364.4</v>
      </c>
      <c r="I453" s="115">
        <f t="shared" si="140"/>
        <v>21.856886909627065</v>
      </c>
      <c r="J453" s="96"/>
    </row>
    <row r="454" spans="1:10" x14ac:dyDescent="0.2">
      <c r="A454" s="123" t="s">
        <v>108</v>
      </c>
      <c r="B454" s="110">
        <f t="shared" si="137"/>
        <v>39814</v>
      </c>
      <c r="C454" s="110">
        <v>39903</v>
      </c>
      <c r="D454" s="111">
        <f t="shared" si="138"/>
        <v>90</v>
      </c>
      <c r="E454" s="111">
        <v>4.5199999999999996</v>
      </c>
      <c r="F454" s="131">
        <f>F$435+G$440-SUM(H$439:H453)-SUM(I$439:I453)</f>
        <v>2317.5413214577629</v>
      </c>
      <c r="G454" s="114">
        <f t="shared" ref="G454:G460" si="141">+D454/365*E454/100*F454</f>
        <v>25.829474234767616</v>
      </c>
      <c r="H454" s="114">
        <f t="shared" si="139"/>
        <v>364.4</v>
      </c>
      <c r="I454" s="115">
        <f t="shared" si="140"/>
        <v>21.856886909627065</v>
      </c>
      <c r="J454" s="96"/>
    </row>
    <row r="455" spans="1:10" x14ac:dyDescent="0.2">
      <c r="A455" s="123" t="s">
        <v>109</v>
      </c>
      <c r="B455" s="110">
        <f t="shared" si="137"/>
        <v>39904</v>
      </c>
      <c r="C455" s="110">
        <v>39994</v>
      </c>
      <c r="D455" s="111">
        <f t="shared" si="138"/>
        <v>91</v>
      </c>
      <c r="E455" s="111">
        <v>3.37</v>
      </c>
      <c r="F455" s="131">
        <f>F$435+G$440-SUM(H$439:H454)-SUM(I$439:I454)</f>
        <v>1931.2844345481362</v>
      </c>
      <c r="G455" s="114">
        <f t="shared" si="141"/>
        <v>16.226493083366488</v>
      </c>
      <c r="H455" s="114">
        <f t="shared" si="139"/>
        <v>364.4</v>
      </c>
      <c r="I455" s="115">
        <f t="shared" si="140"/>
        <v>21.856886909627065</v>
      </c>
      <c r="J455" s="96"/>
    </row>
    <row r="456" spans="1:10" x14ac:dyDescent="0.2">
      <c r="A456" s="123" t="s">
        <v>111</v>
      </c>
      <c r="B456" s="110">
        <f t="shared" si="137"/>
        <v>39995</v>
      </c>
      <c r="C456" s="110">
        <v>40086</v>
      </c>
      <c r="D456" s="111">
        <f t="shared" si="138"/>
        <v>92</v>
      </c>
      <c r="E456" s="111">
        <v>3.25</v>
      </c>
      <c r="F456" s="131">
        <f>F$435+G$440-SUM(H$439:H455)-SUM(I$439:I455)</f>
        <v>1545.0275476385095</v>
      </c>
      <c r="G456" s="114">
        <f t="shared" si="141"/>
        <v>12.656527034079847</v>
      </c>
      <c r="H456" s="114">
        <f t="shared" si="139"/>
        <v>364.4</v>
      </c>
      <c r="I456" s="115">
        <f t="shared" si="140"/>
        <v>21.856886909627065</v>
      </c>
      <c r="J456" s="96"/>
    </row>
    <row r="457" spans="1:10" x14ac:dyDescent="0.2">
      <c r="A457" s="123" t="s">
        <v>101</v>
      </c>
      <c r="B457" s="110">
        <f t="shared" si="137"/>
        <v>40087</v>
      </c>
      <c r="C457" s="110">
        <v>40178</v>
      </c>
      <c r="D457" s="111">
        <f t="shared" si="138"/>
        <v>92</v>
      </c>
      <c r="E457" s="111">
        <f>E456</f>
        <v>3.25</v>
      </c>
      <c r="F457" s="131">
        <f>F$435+G$440-SUM(H$439:H456)-SUM(I$439:I456)</f>
        <v>1158.7706607288828</v>
      </c>
      <c r="G457" s="114">
        <f t="shared" si="141"/>
        <v>9.4923952755598897</v>
      </c>
      <c r="H457" s="114">
        <f t="shared" si="139"/>
        <v>364.4</v>
      </c>
      <c r="I457" s="115">
        <f t="shared" si="140"/>
        <v>21.856886909627065</v>
      </c>
      <c r="J457" s="96"/>
    </row>
    <row r="458" spans="1:10" x14ac:dyDescent="0.2">
      <c r="A458" s="123" t="s">
        <v>112</v>
      </c>
      <c r="B458" s="110">
        <f t="shared" si="137"/>
        <v>40179</v>
      </c>
      <c r="C458" s="110">
        <v>40268</v>
      </c>
      <c r="D458" s="111">
        <f t="shared" si="138"/>
        <v>90</v>
      </c>
      <c r="E458" s="111">
        <f>E457</f>
        <v>3.25</v>
      </c>
      <c r="F458" s="131">
        <f>F$435+G$440-SUM(H$439:H457)-SUM(I$439:I457)</f>
        <v>772.51377381925613</v>
      </c>
      <c r="G458" s="114">
        <f t="shared" si="141"/>
        <v>6.1906925710173262</v>
      </c>
      <c r="H458" s="114">
        <f t="shared" si="139"/>
        <v>364.4</v>
      </c>
      <c r="I458" s="115">
        <f t="shared" si="140"/>
        <v>21.856886909627065</v>
      </c>
      <c r="J458" s="96"/>
    </row>
    <row r="459" spans="1:10" x14ac:dyDescent="0.2">
      <c r="A459" s="123" t="s">
        <v>113</v>
      </c>
      <c r="B459" s="110">
        <f t="shared" si="137"/>
        <v>40269</v>
      </c>
      <c r="C459" s="110">
        <v>40359</v>
      </c>
      <c r="D459" s="111">
        <f t="shared" si="138"/>
        <v>91</v>
      </c>
      <c r="E459" s="111">
        <f>E458</f>
        <v>3.25</v>
      </c>
      <c r="F459" s="131">
        <f>F$435+G$440-SUM(H$439:H458)-SUM(I$439:I458)</f>
        <v>386.25688690962943</v>
      </c>
      <c r="G459" s="114">
        <f t="shared" si="141"/>
        <v>3.1297390220143262</v>
      </c>
      <c r="H459" s="114">
        <f t="shared" si="139"/>
        <v>364.4</v>
      </c>
      <c r="I459" s="115">
        <f t="shared" si="140"/>
        <v>21.856886909627065</v>
      </c>
      <c r="J459" s="96"/>
    </row>
    <row r="460" spans="1:10" x14ac:dyDescent="0.2">
      <c r="A460" s="124" t="s">
        <v>114</v>
      </c>
      <c r="B460" s="125">
        <f t="shared" si="137"/>
        <v>40360</v>
      </c>
      <c r="C460" s="125">
        <v>40451</v>
      </c>
      <c r="D460" s="126">
        <f t="shared" si="138"/>
        <v>92</v>
      </c>
      <c r="E460" s="126">
        <f>E459</f>
        <v>3.25</v>
      </c>
      <c r="F460" s="132">
        <f>F$435+G$440-SUM(H$439:H459)-SUM(I$439:I459)</f>
        <v>2.7284841053187847E-12</v>
      </c>
      <c r="G460" s="127">
        <f t="shared" si="141"/>
        <v>2.2351143766857994E-14</v>
      </c>
      <c r="H460" s="127">
        <v>0</v>
      </c>
      <c r="I460" s="128">
        <v>0</v>
      </c>
      <c r="J460" s="96"/>
    </row>
    <row r="462" spans="1:10" x14ac:dyDescent="0.2">
      <c r="A462" s="387" t="s">
        <v>68</v>
      </c>
      <c r="B462" s="388"/>
      <c r="C462" s="388"/>
      <c r="D462" s="388"/>
      <c r="E462" s="388"/>
      <c r="F462" s="388"/>
      <c r="G462" s="388"/>
      <c r="H462" s="388"/>
      <c r="I462" s="388"/>
      <c r="J462" s="389"/>
    </row>
    <row r="463" spans="1:10" x14ac:dyDescent="0.2">
      <c r="A463" s="30" t="s">
        <v>10</v>
      </c>
      <c r="B463" s="30" t="s">
        <v>11</v>
      </c>
      <c r="C463" s="30" t="s">
        <v>12</v>
      </c>
      <c r="D463" s="30" t="s">
        <v>13</v>
      </c>
      <c r="E463" s="30" t="s">
        <v>14</v>
      </c>
      <c r="F463" s="30" t="s">
        <v>15</v>
      </c>
      <c r="G463" s="30" t="s">
        <v>16</v>
      </c>
      <c r="H463" s="30"/>
      <c r="I463" s="30"/>
      <c r="J463" s="30" t="s">
        <v>17</v>
      </c>
    </row>
    <row r="464" spans="1:10" ht="51" x14ac:dyDescent="0.2">
      <c r="A464" s="70" t="s">
        <v>18</v>
      </c>
      <c r="B464" s="70" t="s">
        <v>19</v>
      </c>
      <c r="C464" s="70" t="s">
        <v>20</v>
      </c>
      <c r="D464" s="70" t="s">
        <v>21</v>
      </c>
      <c r="E464" s="70" t="s">
        <v>22</v>
      </c>
      <c r="F464" s="70" t="s">
        <v>23</v>
      </c>
      <c r="G464" s="6" t="s">
        <v>130</v>
      </c>
      <c r="H464" s="6" t="s">
        <v>37</v>
      </c>
      <c r="I464" s="6" t="s">
        <v>131</v>
      </c>
      <c r="J464" s="70" t="s">
        <v>25</v>
      </c>
    </row>
    <row r="465" spans="1:10" x14ac:dyDescent="0.2">
      <c r="A465" s="102" t="s">
        <v>41</v>
      </c>
      <c r="B465" s="103">
        <f>B28</f>
        <v>38214</v>
      </c>
      <c r="C465" s="103">
        <v>38260</v>
      </c>
      <c r="D465" s="104">
        <f>+C465-B465+1</f>
        <v>47</v>
      </c>
      <c r="E465" s="105">
        <v>4</v>
      </c>
      <c r="F465" s="106">
        <f>E28</f>
        <v>1622</v>
      </c>
      <c r="G465" s="107">
        <f>+D465/366*E465/100*F465</f>
        <v>8.3315846994535523</v>
      </c>
      <c r="H465" s="107"/>
      <c r="I465" s="108"/>
      <c r="J465" s="142">
        <f>+F465+G465</f>
        <v>1630.3315846994535</v>
      </c>
    </row>
    <row r="466" spans="1:10" x14ac:dyDescent="0.2">
      <c r="A466" s="109" t="s">
        <v>45</v>
      </c>
      <c r="B466" s="110">
        <v>38261</v>
      </c>
      <c r="C466" s="110">
        <v>38352</v>
      </c>
      <c r="D466" s="111">
        <f>+C466-B466+1</f>
        <v>92</v>
      </c>
      <c r="E466" s="112">
        <v>4.22</v>
      </c>
      <c r="F466" s="113">
        <f>+J465</f>
        <v>1630.3315846994535</v>
      </c>
      <c r="G466" s="114">
        <f>+D466/366*E466/100*F466</f>
        <v>17.293987279882945</v>
      </c>
      <c r="H466" s="114"/>
      <c r="I466" s="115"/>
      <c r="J466" s="129">
        <f>+F466+G466</f>
        <v>1647.6255719793364</v>
      </c>
    </row>
    <row r="467" spans="1:10" x14ac:dyDescent="0.2">
      <c r="A467" s="109" t="s">
        <v>43</v>
      </c>
      <c r="B467" s="110">
        <v>38353</v>
      </c>
      <c r="C467" s="110">
        <v>38442</v>
      </c>
      <c r="D467" s="111">
        <f>+C467-B467+1</f>
        <v>90</v>
      </c>
      <c r="E467" s="112">
        <v>4.75</v>
      </c>
      <c r="F467" s="113">
        <f>+J466</f>
        <v>1647.6255719793364</v>
      </c>
      <c r="G467" s="114">
        <f>+D467/365*E467/100*F467</f>
        <v>19.297532384141544</v>
      </c>
      <c r="H467" s="114"/>
      <c r="I467" s="115"/>
      <c r="J467" s="129">
        <f>+F467+G467</f>
        <v>1666.9231043634779</v>
      </c>
    </row>
    <row r="468" spans="1:10" x14ac:dyDescent="0.2">
      <c r="A468" s="109" t="s">
        <v>40</v>
      </c>
      <c r="B468" s="110">
        <v>38443</v>
      </c>
      <c r="C468" s="110">
        <v>38533</v>
      </c>
      <c r="D468" s="111">
        <f>+C468-B468+1</f>
        <v>91</v>
      </c>
      <c r="E468" s="112">
        <v>5.3</v>
      </c>
      <c r="F468" s="113">
        <f>+J467</f>
        <v>1666.9231043634779</v>
      </c>
      <c r="G468" s="114">
        <f>+D468/365*E468/100*F468</f>
        <v>22.026219540671381</v>
      </c>
      <c r="H468" s="114"/>
      <c r="I468" s="115"/>
      <c r="J468" s="129">
        <f>+F468+G468</f>
        <v>1688.9493239041494</v>
      </c>
    </row>
    <row r="469" spans="1:10" x14ac:dyDescent="0.2">
      <c r="A469" s="109" t="s">
        <v>42</v>
      </c>
      <c r="B469" s="110">
        <v>38534</v>
      </c>
      <c r="C469" s="110">
        <v>38625</v>
      </c>
      <c r="D469" s="111">
        <f>+C469-B469+1</f>
        <v>92</v>
      </c>
      <c r="E469" s="112">
        <v>5.77</v>
      </c>
      <c r="F469" s="113">
        <f>+J468</f>
        <v>1688.9493239041494</v>
      </c>
      <c r="G469" s="114">
        <f>+D469/365*E469/100*F469</f>
        <v>24.563338605514485</v>
      </c>
      <c r="H469" s="114">
        <f>F$465/20</f>
        <v>81.099999999999994</v>
      </c>
      <c r="I469" s="115">
        <f>G$470/20</f>
        <v>4.5756331254831952</v>
      </c>
      <c r="J469" s="129">
        <f>+F469+G469</f>
        <v>1713.5126625096639</v>
      </c>
    </row>
    <row r="470" spans="1:10" x14ac:dyDescent="0.2">
      <c r="A470" s="117"/>
      <c r="B470" s="118"/>
      <c r="C470" s="118"/>
      <c r="D470" s="130"/>
      <c r="E470" s="393" t="s">
        <v>132</v>
      </c>
      <c r="F470" s="394"/>
      <c r="G470" s="120">
        <f>SUM(G465:G469)</f>
        <v>91.512662509663912</v>
      </c>
      <c r="H470" s="120"/>
      <c r="I470" s="121"/>
      <c r="J470" s="135"/>
    </row>
    <row r="471" spans="1:10" x14ac:dyDescent="0.2">
      <c r="A471" s="123" t="s">
        <v>36</v>
      </c>
      <c r="B471" s="110">
        <v>38626</v>
      </c>
      <c r="C471" s="110">
        <v>38717</v>
      </c>
      <c r="D471" s="111">
        <f>+C471-B471+1</f>
        <v>92</v>
      </c>
      <c r="E471" s="122">
        <v>6.23</v>
      </c>
      <c r="F471" s="131">
        <f>F$465+G$470-SUM(H$469:H470)-SUM(I$469:I470)</f>
        <v>1627.8370293841808</v>
      </c>
      <c r="G471" s="114">
        <f>+D471/365*E471/100*F471</f>
        <v>25.561947171557183</v>
      </c>
      <c r="H471" s="114">
        <f t="shared" ref="H471:H479" si="142">F$465/20</f>
        <v>81.099999999999994</v>
      </c>
      <c r="I471" s="116">
        <f t="shared" ref="I471:I479" si="143">G$470/20</f>
        <v>4.5756331254831952</v>
      </c>
      <c r="J471" s="134"/>
    </row>
    <row r="472" spans="1:10" x14ac:dyDescent="0.2">
      <c r="A472" s="109" t="s">
        <v>76</v>
      </c>
      <c r="B472" s="110">
        <f>C471+1</f>
        <v>38718</v>
      </c>
      <c r="C472" s="110">
        <v>38807</v>
      </c>
      <c r="D472" s="111">
        <f t="shared" ref="D472:D479" si="144">+C472-B472+1</f>
        <v>90</v>
      </c>
      <c r="E472" s="112">
        <v>6.78</v>
      </c>
      <c r="F472" s="131">
        <f>F$465+G$470-SUM(H$469:H471)-SUM(I$469:I471)</f>
        <v>1542.1613962586973</v>
      </c>
      <c r="G472" s="114">
        <f t="shared" ref="G472:G479" si="145">+D472/365*E472/100*F472</f>
        <v>25.781558465672791</v>
      </c>
      <c r="H472" s="114">
        <f t="shared" si="142"/>
        <v>81.099999999999994</v>
      </c>
      <c r="I472" s="116">
        <f t="shared" si="143"/>
        <v>4.5756331254831952</v>
      </c>
      <c r="J472" s="134"/>
    </row>
    <row r="473" spans="1:10" x14ac:dyDescent="0.2">
      <c r="A473" s="109" t="s">
        <v>77</v>
      </c>
      <c r="B473" s="110">
        <f t="shared" ref="B473:B490" si="146">C472+1</f>
        <v>38808</v>
      </c>
      <c r="C473" s="110">
        <v>38898</v>
      </c>
      <c r="D473" s="111">
        <f t="shared" si="144"/>
        <v>91</v>
      </c>
      <c r="E473" s="112">
        <v>7.3</v>
      </c>
      <c r="F473" s="131">
        <f>F$465+G$470-SUM(H$469:H472)-SUM(I$469:I472)</f>
        <v>1456.4857631332143</v>
      </c>
      <c r="G473" s="114">
        <f t="shared" si="145"/>
        <v>26.5080408890245</v>
      </c>
      <c r="H473" s="114">
        <f t="shared" si="142"/>
        <v>81.099999999999994</v>
      </c>
      <c r="I473" s="116">
        <f t="shared" si="143"/>
        <v>4.5756331254831952</v>
      </c>
      <c r="J473" s="134"/>
    </row>
    <row r="474" spans="1:10" x14ac:dyDescent="0.2">
      <c r="A474" s="109" t="s">
        <v>78</v>
      </c>
      <c r="B474" s="110">
        <f t="shared" si="146"/>
        <v>38899</v>
      </c>
      <c r="C474" s="110">
        <v>38990</v>
      </c>
      <c r="D474" s="111">
        <f t="shared" si="144"/>
        <v>92</v>
      </c>
      <c r="E474" s="111">
        <v>7.74</v>
      </c>
      <c r="F474" s="131">
        <f>F$465+G$470-SUM(H$469:H473)-SUM(I$469:I473)</f>
        <v>1370.8101300077312</v>
      </c>
      <c r="G474" s="114">
        <f t="shared" si="145"/>
        <v>26.743191160983709</v>
      </c>
      <c r="H474" s="114">
        <f t="shared" si="142"/>
        <v>81.099999999999994</v>
      </c>
      <c r="I474" s="116">
        <f t="shared" si="143"/>
        <v>4.5756331254831952</v>
      </c>
      <c r="J474" s="134"/>
    </row>
    <row r="475" spans="1:10" x14ac:dyDescent="0.2">
      <c r="A475" s="109" t="s">
        <v>79</v>
      </c>
      <c r="B475" s="110">
        <f t="shared" si="146"/>
        <v>38991</v>
      </c>
      <c r="C475" s="110">
        <v>39082</v>
      </c>
      <c r="D475" s="111">
        <f t="shared" si="144"/>
        <v>92</v>
      </c>
      <c r="E475" s="111">
        <v>8.17</v>
      </c>
      <c r="F475" s="131">
        <f>F$465+G$470-SUM(H$469:H474)-SUM(I$469:I474)</f>
        <v>1285.134496882248</v>
      </c>
      <c r="G475" s="114">
        <f t="shared" si="145"/>
        <v>26.464616253056793</v>
      </c>
      <c r="H475" s="114">
        <f t="shared" si="142"/>
        <v>81.099999999999994</v>
      </c>
      <c r="I475" s="116">
        <f t="shared" si="143"/>
        <v>4.5756331254831952</v>
      </c>
      <c r="J475" s="134"/>
    </row>
    <row r="476" spans="1:10" ht="9.75" customHeight="1" x14ac:dyDescent="0.2">
      <c r="A476" s="109" t="s">
        <v>80</v>
      </c>
      <c r="B476" s="110">
        <f t="shared" si="146"/>
        <v>39083</v>
      </c>
      <c r="C476" s="110">
        <v>39172</v>
      </c>
      <c r="D476" s="111">
        <f t="shared" si="144"/>
        <v>90</v>
      </c>
      <c r="E476" s="111">
        <v>8.25</v>
      </c>
      <c r="F476" s="131">
        <f>F$465+G$470-SUM(H$469:H475)-SUM(I$469:I475)</f>
        <v>1199.4588637567645</v>
      </c>
      <c r="G476" s="114">
        <f t="shared" si="145"/>
        <v>24.399950858613632</v>
      </c>
      <c r="H476" s="114">
        <f t="shared" si="142"/>
        <v>81.099999999999994</v>
      </c>
      <c r="I476" s="116">
        <f t="shared" si="143"/>
        <v>4.5756331254831952</v>
      </c>
      <c r="J476" s="134"/>
    </row>
    <row r="477" spans="1:10" ht="9.75" customHeight="1" x14ac:dyDescent="0.2">
      <c r="A477" s="109" t="s">
        <v>81</v>
      </c>
      <c r="B477" s="110">
        <f t="shared" si="146"/>
        <v>39173</v>
      </c>
      <c r="C477" s="110">
        <v>39263</v>
      </c>
      <c r="D477" s="111">
        <f t="shared" si="144"/>
        <v>91</v>
      </c>
      <c r="E477" s="111">
        <v>8.25</v>
      </c>
      <c r="F477" s="131">
        <f>F$465+G$470-SUM(H$469:H476)-SUM(I$469:I476)</f>
        <v>1113.7832306312814</v>
      </c>
      <c r="G477" s="114">
        <f t="shared" si="145"/>
        <v>22.908842750587251</v>
      </c>
      <c r="H477" s="114">
        <f t="shared" si="142"/>
        <v>81.099999999999994</v>
      </c>
      <c r="I477" s="116">
        <f t="shared" si="143"/>
        <v>4.5756331254831952</v>
      </c>
      <c r="J477" s="134"/>
    </row>
    <row r="478" spans="1:10" ht="9.75" customHeight="1" x14ac:dyDescent="0.2">
      <c r="A478" s="109" t="s">
        <v>82</v>
      </c>
      <c r="B478" s="110">
        <f t="shared" si="146"/>
        <v>39264</v>
      </c>
      <c r="C478" s="110">
        <v>39355</v>
      </c>
      <c r="D478" s="111">
        <f t="shared" si="144"/>
        <v>92</v>
      </c>
      <c r="E478" s="111">
        <v>8.25</v>
      </c>
      <c r="F478" s="131">
        <f>F$465+G$470-SUM(H$469:H477)-SUM(I$469:I477)</f>
        <v>1028.1075975057984</v>
      </c>
      <c r="G478" s="114">
        <f t="shared" si="145"/>
        <v>21.379004561832904</v>
      </c>
      <c r="H478" s="114">
        <f t="shared" si="142"/>
        <v>81.099999999999994</v>
      </c>
      <c r="I478" s="116">
        <f t="shared" si="143"/>
        <v>4.5756331254831952</v>
      </c>
      <c r="J478" s="134"/>
    </row>
    <row r="479" spans="1:10" ht="9.75" customHeight="1" x14ac:dyDescent="0.2">
      <c r="A479" s="123" t="s">
        <v>83</v>
      </c>
      <c r="B479" s="110">
        <f t="shared" si="146"/>
        <v>39356</v>
      </c>
      <c r="C479" s="110">
        <v>39447</v>
      </c>
      <c r="D479" s="111">
        <f t="shared" si="144"/>
        <v>92</v>
      </c>
      <c r="E479" s="111">
        <v>8.25</v>
      </c>
      <c r="F479" s="131">
        <f>F$465+G$470-SUM(H$469:H478)-SUM(I$469:I478)</f>
        <v>942.43196438031498</v>
      </c>
      <c r="G479" s="114">
        <f t="shared" si="145"/>
        <v>19.597420848346825</v>
      </c>
      <c r="H479" s="114">
        <f t="shared" si="142"/>
        <v>81.099999999999994</v>
      </c>
      <c r="I479" s="116">
        <f t="shared" si="143"/>
        <v>4.5756331254831952</v>
      </c>
      <c r="J479" s="134"/>
    </row>
    <row r="480" spans="1:10" x14ac:dyDescent="0.2">
      <c r="A480" s="123" t="s">
        <v>105</v>
      </c>
      <c r="B480" s="110">
        <f t="shared" si="146"/>
        <v>39448</v>
      </c>
      <c r="C480" s="110">
        <v>39538</v>
      </c>
      <c r="D480" s="111">
        <f t="shared" ref="D480:D490" si="147">+C480-B480+1</f>
        <v>91</v>
      </c>
      <c r="E480" s="111">
        <v>7.76</v>
      </c>
      <c r="F480" s="131">
        <f>F$465+G$470-SUM(H$469:H479)-SUM(I$469:I479)</f>
        <v>856.75633125483182</v>
      </c>
      <c r="G480" s="114">
        <f>+D480/366*E480/100*F480</f>
        <v>16.530247291773556</v>
      </c>
      <c r="H480" s="114">
        <f t="shared" ref="H480:H489" si="148">F$465/20</f>
        <v>81.099999999999994</v>
      </c>
      <c r="I480" s="115">
        <f t="shared" ref="I480:I489" si="149">G$470/20</f>
        <v>4.5756331254831952</v>
      </c>
      <c r="J480" s="96"/>
    </row>
    <row r="481" spans="1:10" x14ac:dyDescent="0.2">
      <c r="A481" s="123" t="s">
        <v>106</v>
      </c>
      <c r="B481" s="110">
        <f t="shared" si="146"/>
        <v>39539</v>
      </c>
      <c r="C481" s="110">
        <v>39629</v>
      </c>
      <c r="D481" s="111">
        <f t="shared" si="147"/>
        <v>91</v>
      </c>
      <c r="E481" s="111">
        <v>6.77</v>
      </c>
      <c r="F481" s="131">
        <f>F$465+G$470-SUM(H$469:H480)-SUM(I$469:I480)</f>
        <v>771.08069812934855</v>
      </c>
      <c r="G481" s="114">
        <f>+D481/366*E481/100*F481</f>
        <v>12.979226385151577</v>
      </c>
      <c r="H481" s="114">
        <f t="shared" si="148"/>
        <v>81.099999999999994</v>
      </c>
      <c r="I481" s="115">
        <f t="shared" si="149"/>
        <v>4.5756331254831952</v>
      </c>
      <c r="J481" s="96"/>
    </row>
    <row r="482" spans="1:10" x14ac:dyDescent="0.2">
      <c r="A482" s="123" t="s">
        <v>107</v>
      </c>
      <c r="B482" s="110">
        <f t="shared" si="146"/>
        <v>39630</v>
      </c>
      <c r="C482" s="110">
        <v>39721</v>
      </c>
      <c r="D482" s="111">
        <f t="shared" si="147"/>
        <v>92</v>
      </c>
      <c r="E482" s="111">
        <v>5.3</v>
      </c>
      <c r="F482" s="131">
        <f>F$465+G$470-SUM(H$469:H481)-SUM(I$469:I481)</f>
        <v>685.40506500386539</v>
      </c>
      <c r="G482" s="114">
        <f>+D482/366*E482/100*F482</f>
        <v>9.1312434343137916</v>
      </c>
      <c r="H482" s="114">
        <f t="shared" si="148"/>
        <v>81.099999999999994</v>
      </c>
      <c r="I482" s="115">
        <f t="shared" si="149"/>
        <v>4.5756331254831952</v>
      </c>
      <c r="J482" s="96"/>
    </row>
    <row r="483" spans="1:10" x14ac:dyDescent="0.2">
      <c r="A483" s="123" t="s">
        <v>100</v>
      </c>
      <c r="B483" s="110">
        <f t="shared" si="146"/>
        <v>39722</v>
      </c>
      <c r="C483" s="110">
        <v>39813</v>
      </c>
      <c r="D483" s="111">
        <f t="shared" si="147"/>
        <v>92</v>
      </c>
      <c r="E483" s="111">
        <v>5</v>
      </c>
      <c r="F483" s="131">
        <f>F$465+G$470-SUM(H$469:H482)-SUM(I$469:I482)</f>
        <v>599.72943187838212</v>
      </c>
      <c r="G483" s="114">
        <f>+D483/366*E483/100*F483</f>
        <v>7.5375830236080814</v>
      </c>
      <c r="H483" s="114">
        <f t="shared" si="148"/>
        <v>81.099999999999994</v>
      </c>
      <c r="I483" s="115">
        <f t="shared" si="149"/>
        <v>4.5756331254831952</v>
      </c>
      <c r="J483" s="96"/>
    </row>
    <row r="484" spans="1:10" x14ac:dyDescent="0.2">
      <c r="A484" s="123" t="s">
        <v>108</v>
      </c>
      <c r="B484" s="110">
        <f t="shared" si="146"/>
        <v>39814</v>
      </c>
      <c r="C484" s="110">
        <v>39903</v>
      </c>
      <c r="D484" s="111">
        <f t="shared" si="147"/>
        <v>90</v>
      </c>
      <c r="E484" s="111">
        <v>4.5199999999999996</v>
      </c>
      <c r="F484" s="131">
        <f>F$465+G$470-SUM(H$469:H483)-SUM(I$469:I483)</f>
        <v>514.05379875289907</v>
      </c>
      <c r="G484" s="114">
        <f t="shared" ref="G484:G490" si="150">+D484/365*E484/100*F484</f>
        <v>5.7292352145939542</v>
      </c>
      <c r="H484" s="114">
        <f t="shared" si="148"/>
        <v>81.099999999999994</v>
      </c>
      <c r="I484" s="115">
        <f t="shared" si="149"/>
        <v>4.5756331254831952</v>
      </c>
      <c r="J484" s="96"/>
    </row>
    <row r="485" spans="1:10" x14ac:dyDescent="0.2">
      <c r="A485" s="123" t="s">
        <v>109</v>
      </c>
      <c r="B485" s="110">
        <f t="shared" si="146"/>
        <v>39904</v>
      </c>
      <c r="C485" s="110">
        <v>39994</v>
      </c>
      <c r="D485" s="111">
        <f t="shared" si="147"/>
        <v>91</v>
      </c>
      <c r="E485" s="111">
        <v>3.37</v>
      </c>
      <c r="F485" s="131">
        <f>F$465+G$470-SUM(H$469:H484)-SUM(I$469:I484)</f>
        <v>428.37816562741597</v>
      </c>
      <c r="G485" s="114">
        <f t="shared" si="150"/>
        <v>3.5991981384372504</v>
      </c>
      <c r="H485" s="114">
        <f t="shared" si="148"/>
        <v>81.099999999999994</v>
      </c>
      <c r="I485" s="115">
        <f t="shared" si="149"/>
        <v>4.5756331254831952</v>
      </c>
      <c r="J485" s="96"/>
    </row>
    <row r="486" spans="1:10" x14ac:dyDescent="0.2">
      <c r="A486" s="123" t="s">
        <v>111</v>
      </c>
      <c r="B486" s="110">
        <f t="shared" si="146"/>
        <v>39995</v>
      </c>
      <c r="C486" s="110">
        <v>40086</v>
      </c>
      <c r="D486" s="111">
        <f t="shared" si="147"/>
        <v>92</v>
      </c>
      <c r="E486" s="111">
        <v>3.25</v>
      </c>
      <c r="F486" s="131">
        <f>F$465+G$470-SUM(H$469:H485)-SUM(I$469:I485)</f>
        <v>342.70253250193286</v>
      </c>
      <c r="G486" s="114">
        <f t="shared" si="150"/>
        <v>2.8073440333719981</v>
      </c>
      <c r="H486" s="114">
        <f t="shared" si="148"/>
        <v>81.099999999999994</v>
      </c>
      <c r="I486" s="115">
        <f t="shared" si="149"/>
        <v>4.5756331254831952</v>
      </c>
      <c r="J486" s="96"/>
    </row>
    <row r="487" spans="1:10" x14ac:dyDescent="0.2">
      <c r="A487" s="123" t="s">
        <v>101</v>
      </c>
      <c r="B487" s="110">
        <f t="shared" si="146"/>
        <v>40087</v>
      </c>
      <c r="C487" s="110">
        <v>40178</v>
      </c>
      <c r="D487" s="111">
        <f t="shared" si="147"/>
        <v>92</v>
      </c>
      <c r="E487" s="111">
        <f>E486</f>
        <v>3.25</v>
      </c>
      <c r="F487" s="131">
        <f>F$465+G$470-SUM(H$469:H486)-SUM(I$469:I486)</f>
        <v>257.02689937644976</v>
      </c>
      <c r="G487" s="114">
        <f t="shared" si="150"/>
        <v>2.1055080250289997</v>
      </c>
      <c r="H487" s="114">
        <f t="shared" si="148"/>
        <v>81.099999999999994</v>
      </c>
      <c r="I487" s="115">
        <f t="shared" si="149"/>
        <v>4.5756331254831952</v>
      </c>
      <c r="J487" s="96"/>
    </row>
    <row r="488" spans="1:10" x14ac:dyDescent="0.2">
      <c r="A488" s="123" t="s">
        <v>112</v>
      </c>
      <c r="B488" s="110">
        <f t="shared" si="146"/>
        <v>40179</v>
      </c>
      <c r="C488" s="110">
        <v>40268</v>
      </c>
      <c r="D488" s="111">
        <f t="shared" si="147"/>
        <v>90</v>
      </c>
      <c r="E488" s="111">
        <f>E487</f>
        <v>3.25</v>
      </c>
      <c r="F488" s="131">
        <f>F$465+G$470-SUM(H$469:H487)-SUM(I$469:I487)</f>
        <v>171.35126625096666</v>
      </c>
      <c r="G488" s="114">
        <f t="shared" si="150"/>
        <v>1.3731574076276094</v>
      </c>
      <c r="H488" s="114">
        <f t="shared" si="148"/>
        <v>81.099999999999994</v>
      </c>
      <c r="I488" s="115">
        <f t="shared" si="149"/>
        <v>4.5756331254831952</v>
      </c>
      <c r="J488" s="96"/>
    </row>
    <row r="489" spans="1:10" x14ac:dyDescent="0.2">
      <c r="A489" s="123" t="s">
        <v>113</v>
      </c>
      <c r="B489" s="110">
        <f t="shared" si="146"/>
        <v>40269</v>
      </c>
      <c r="C489" s="110">
        <v>40359</v>
      </c>
      <c r="D489" s="111">
        <f t="shared" si="147"/>
        <v>91</v>
      </c>
      <c r="E489" s="111">
        <f>E488</f>
        <v>3.25</v>
      </c>
      <c r="F489" s="131">
        <f>F$465+G$470-SUM(H$469:H488)-SUM(I$469:I488)</f>
        <v>85.675633125483543</v>
      </c>
      <c r="G489" s="114">
        <f t="shared" si="150"/>
        <v>0.69420735607840434</v>
      </c>
      <c r="H489" s="114">
        <f t="shared" si="148"/>
        <v>81.099999999999994</v>
      </c>
      <c r="I489" s="115">
        <f t="shared" si="149"/>
        <v>4.5756331254831952</v>
      </c>
      <c r="J489" s="96"/>
    </row>
    <row r="490" spans="1:10" x14ac:dyDescent="0.2">
      <c r="A490" s="124" t="s">
        <v>114</v>
      </c>
      <c r="B490" s="125">
        <f t="shared" si="146"/>
        <v>40360</v>
      </c>
      <c r="C490" s="125">
        <v>40451</v>
      </c>
      <c r="D490" s="126">
        <f t="shared" si="147"/>
        <v>92</v>
      </c>
      <c r="E490" s="126">
        <f>E489</f>
        <v>3.25</v>
      </c>
      <c r="F490" s="132">
        <f>F$465+G$470-SUM(H$469:H489)-SUM(I$469:I489)</f>
        <v>4.4053649617126212E-13</v>
      </c>
      <c r="G490" s="127">
        <f t="shared" si="150"/>
        <v>3.6087784206906135E-15</v>
      </c>
      <c r="H490" s="127">
        <v>0</v>
      </c>
      <c r="I490" s="128">
        <v>0</v>
      </c>
      <c r="J490" s="96"/>
    </row>
    <row r="492" spans="1:10" x14ac:dyDescent="0.2">
      <c r="A492" s="387" t="s">
        <v>69</v>
      </c>
      <c r="B492" s="388"/>
      <c r="C492" s="388"/>
      <c r="D492" s="388"/>
      <c r="E492" s="388"/>
      <c r="F492" s="388"/>
      <c r="G492" s="388"/>
      <c r="H492" s="388"/>
      <c r="I492" s="388"/>
      <c r="J492" s="389"/>
    </row>
    <row r="493" spans="1:10" x14ac:dyDescent="0.2">
      <c r="A493" s="30" t="s">
        <v>10</v>
      </c>
      <c r="B493" s="30" t="s">
        <v>11</v>
      </c>
      <c r="C493" s="30" t="s">
        <v>12</v>
      </c>
      <c r="D493" s="30" t="s">
        <v>13</v>
      </c>
      <c r="E493" s="30" t="s">
        <v>14</v>
      </c>
      <c r="F493" s="30" t="s">
        <v>15</v>
      </c>
      <c r="G493" s="30" t="s">
        <v>16</v>
      </c>
      <c r="H493" s="30"/>
      <c r="I493" s="30"/>
      <c r="J493" s="30" t="s">
        <v>17</v>
      </c>
    </row>
    <row r="494" spans="1:10" ht="51" x14ac:dyDescent="0.2">
      <c r="A494" s="70" t="s">
        <v>18</v>
      </c>
      <c r="B494" s="70" t="s">
        <v>19</v>
      </c>
      <c r="C494" s="70" t="s">
        <v>20</v>
      </c>
      <c r="D494" s="70" t="s">
        <v>21</v>
      </c>
      <c r="E494" s="70" t="s">
        <v>22</v>
      </c>
      <c r="F494" s="70" t="s">
        <v>23</v>
      </c>
      <c r="G494" s="6" t="s">
        <v>130</v>
      </c>
      <c r="H494" s="6" t="s">
        <v>37</v>
      </c>
      <c r="I494" s="6" t="s">
        <v>131</v>
      </c>
      <c r="J494" s="70" t="s">
        <v>25</v>
      </c>
    </row>
    <row r="495" spans="1:10" x14ac:dyDescent="0.2">
      <c r="A495" s="102" t="s">
        <v>41</v>
      </c>
      <c r="B495" s="103">
        <f>B29</f>
        <v>38245</v>
      </c>
      <c r="C495" s="103">
        <v>38260</v>
      </c>
      <c r="D495" s="104">
        <f>+C495-B495+1</f>
        <v>16</v>
      </c>
      <c r="E495" s="105">
        <v>4</v>
      </c>
      <c r="F495" s="106">
        <f>E29</f>
        <v>1822</v>
      </c>
      <c r="G495" s="107">
        <f>+D495/366*E495/100*F495</f>
        <v>3.1860109289617484</v>
      </c>
      <c r="H495" s="107"/>
      <c r="I495" s="108"/>
      <c r="J495" s="142">
        <f>+F495+G495</f>
        <v>1825.1860109289617</v>
      </c>
    </row>
    <row r="496" spans="1:10" x14ac:dyDescent="0.2">
      <c r="A496" s="109" t="s">
        <v>45</v>
      </c>
      <c r="B496" s="110">
        <v>38261</v>
      </c>
      <c r="C496" s="110">
        <v>38352</v>
      </c>
      <c r="D496" s="111">
        <f>+C496-B496+1</f>
        <v>92</v>
      </c>
      <c r="E496" s="112">
        <v>4.22</v>
      </c>
      <c r="F496" s="113">
        <f>+J495</f>
        <v>1825.1860109289617</v>
      </c>
      <c r="G496" s="114">
        <f>+D496/366*E496/100*F496</f>
        <v>19.360934887515302</v>
      </c>
      <c r="H496" s="114"/>
      <c r="I496" s="115"/>
      <c r="J496" s="129">
        <f>+F496+G496</f>
        <v>1844.5469458164769</v>
      </c>
    </row>
    <row r="497" spans="1:10" x14ac:dyDescent="0.2">
      <c r="A497" s="109" t="s">
        <v>43</v>
      </c>
      <c r="B497" s="110">
        <v>38353</v>
      </c>
      <c r="C497" s="110">
        <v>38442</v>
      </c>
      <c r="D497" s="111">
        <f>+C497-B497+1</f>
        <v>90</v>
      </c>
      <c r="E497" s="112">
        <v>4.75</v>
      </c>
      <c r="F497" s="113">
        <f>+J496</f>
        <v>1844.5469458164769</v>
      </c>
      <c r="G497" s="114">
        <f>+D497/365*E497/100*F497</f>
        <v>21.603940255795724</v>
      </c>
      <c r="H497" s="114"/>
      <c r="I497" s="115"/>
      <c r="J497" s="129">
        <f>+F497+G497</f>
        <v>1866.1508860722727</v>
      </c>
    </row>
    <row r="498" spans="1:10" x14ac:dyDescent="0.2">
      <c r="A498" s="109" t="s">
        <v>40</v>
      </c>
      <c r="B498" s="110">
        <v>38443</v>
      </c>
      <c r="C498" s="110">
        <v>38533</v>
      </c>
      <c r="D498" s="111">
        <f>+C498-B498+1</f>
        <v>91</v>
      </c>
      <c r="E498" s="112">
        <v>5.3</v>
      </c>
      <c r="F498" s="113">
        <f>+J497</f>
        <v>1866.1508860722727</v>
      </c>
      <c r="G498" s="114">
        <f>+D498/365*E498/100*F498</f>
        <v>24.658755406922111</v>
      </c>
      <c r="H498" s="114"/>
      <c r="I498" s="115"/>
      <c r="J498" s="129">
        <f>+F498+G498</f>
        <v>1890.8096414791949</v>
      </c>
    </row>
    <row r="499" spans="1:10" x14ac:dyDescent="0.2">
      <c r="A499" s="109" t="s">
        <v>42</v>
      </c>
      <c r="B499" s="110">
        <v>38534</v>
      </c>
      <c r="C499" s="110">
        <v>38625</v>
      </c>
      <c r="D499" s="111">
        <f>+C499-B499+1</f>
        <v>92</v>
      </c>
      <c r="E499" s="112">
        <v>5.77</v>
      </c>
      <c r="F499" s="113">
        <f>+J498</f>
        <v>1890.8096414791949</v>
      </c>
      <c r="G499" s="114">
        <f>+D499/365*E499/100*F499</f>
        <v>27.499106577611393</v>
      </c>
      <c r="H499" s="114">
        <f>F$495/20</f>
        <v>91.1</v>
      </c>
      <c r="I499" s="115">
        <f>G$500/20</f>
        <v>4.8154374028403142</v>
      </c>
      <c r="J499" s="129">
        <f>+F499+G499</f>
        <v>1918.3087480568063</v>
      </c>
    </row>
    <row r="500" spans="1:10" x14ac:dyDescent="0.2">
      <c r="A500" s="117"/>
      <c r="B500" s="118"/>
      <c r="C500" s="118"/>
      <c r="D500" s="130"/>
      <c r="E500" s="393" t="s">
        <v>132</v>
      </c>
      <c r="F500" s="394"/>
      <c r="G500" s="120">
        <f>SUM(G495:G499)</f>
        <v>96.30874805680628</v>
      </c>
      <c r="H500" s="120"/>
      <c r="I500" s="121"/>
      <c r="J500" s="135"/>
    </row>
    <row r="501" spans="1:10" x14ac:dyDescent="0.2">
      <c r="A501" s="123" t="s">
        <v>36</v>
      </c>
      <c r="B501" s="110">
        <v>38626</v>
      </c>
      <c r="C501" s="110">
        <v>38717</v>
      </c>
      <c r="D501" s="111">
        <f>+C501-B501+1</f>
        <v>92</v>
      </c>
      <c r="E501" s="122">
        <v>6.23</v>
      </c>
      <c r="F501" s="131">
        <f>F$495+G$500-SUM(H$499:H500)-SUM(I$499:I500)</f>
        <v>1822.393310653966</v>
      </c>
      <c r="G501" s="114">
        <f>+D501/365*E501/100*F501</f>
        <v>28.617067121491157</v>
      </c>
      <c r="H501" s="114">
        <f t="shared" ref="H501:H509" si="151">F$495/20</f>
        <v>91.1</v>
      </c>
      <c r="I501" s="116">
        <f t="shared" ref="I501:I509" si="152">G$500/20</f>
        <v>4.8154374028403142</v>
      </c>
      <c r="J501" s="134"/>
    </row>
    <row r="502" spans="1:10" x14ac:dyDescent="0.2">
      <c r="A502" s="109" t="s">
        <v>76</v>
      </c>
      <c r="B502" s="110">
        <f>C501+1</f>
        <v>38718</v>
      </c>
      <c r="C502" s="110">
        <v>38807</v>
      </c>
      <c r="D502" s="111">
        <f t="shared" ref="D502:D509" si="153">+C502-B502+1</f>
        <v>90</v>
      </c>
      <c r="E502" s="112">
        <v>6.78</v>
      </c>
      <c r="F502" s="131">
        <f>F$495+G$500-SUM(H$499:H501)-SUM(I$499:I501)</f>
        <v>1726.4778732511256</v>
      </c>
      <c r="G502" s="114">
        <f t="shared" ref="G502:G509" si="154">+D502/365*E502/100*F502</f>
        <v>28.862925979666759</v>
      </c>
      <c r="H502" s="114">
        <f t="shared" si="151"/>
        <v>91.1</v>
      </c>
      <c r="I502" s="116">
        <f t="shared" si="152"/>
        <v>4.8154374028403142</v>
      </c>
      <c r="J502" s="134"/>
    </row>
    <row r="503" spans="1:10" x14ac:dyDescent="0.2">
      <c r="A503" s="109" t="s">
        <v>77</v>
      </c>
      <c r="B503" s="110">
        <f t="shared" ref="B503:B520" si="155">C502+1</f>
        <v>38808</v>
      </c>
      <c r="C503" s="110">
        <v>38898</v>
      </c>
      <c r="D503" s="111">
        <f t="shared" si="153"/>
        <v>91</v>
      </c>
      <c r="E503" s="112">
        <v>7.3</v>
      </c>
      <c r="F503" s="131">
        <f>F$495+G$500-SUM(H$499:H502)-SUM(I$499:I502)</f>
        <v>1630.5624358482853</v>
      </c>
      <c r="G503" s="114">
        <f t="shared" si="154"/>
        <v>29.676236332438794</v>
      </c>
      <c r="H503" s="114">
        <f t="shared" si="151"/>
        <v>91.1</v>
      </c>
      <c r="I503" s="116">
        <f t="shared" si="152"/>
        <v>4.8154374028403142</v>
      </c>
      <c r="J503" s="134"/>
    </row>
    <row r="504" spans="1:10" x14ac:dyDescent="0.2">
      <c r="A504" s="109" t="s">
        <v>78</v>
      </c>
      <c r="B504" s="110">
        <f t="shared" si="155"/>
        <v>38899</v>
      </c>
      <c r="C504" s="110">
        <v>38990</v>
      </c>
      <c r="D504" s="111">
        <f t="shared" si="153"/>
        <v>92</v>
      </c>
      <c r="E504" s="111">
        <v>7.74</v>
      </c>
      <c r="F504" s="131">
        <f>F$495+G$500-SUM(H$499:H503)-SUM(I$499:I503)</f>
        <v>1534.6469984454452</v>
      </c>
      <c r="G504" s="114">
        <f t="shared" si="154"/>
        <v>29.939491360357064</v>
      </c>
      <c r="H504" s="114">
        <f t="shared" si="151"/>
        <v>91.1</v>
      </c>
      <c r="I504" s="116">
        <f t="shared" si="152"/>
        <v>4.8154374028403142</v>
      </c>
      <c r="J504" s="134"/>
    </row>
    <row r="505" spans="1:10" x14ac:dyDescent="0.2">
      <c r="A505" s="109" t="s">
        <v>79</v>
      </c>
      <c r="B505" s="110">
        <f t="shared" si="155"/>
        <v>38991</v>
      </c>
      <c r="C505" s="110">
        <v>39082</v>
      </c>
      <c r="D505" s="111">
        <f t="shared" si="153"/>
        <v>92</v>
      </c>
      <c r="E505" s="111">
        <v>8.17</v>
      </c>
      <c r="F505" s="131">
        <f>F$495+G$500-SUM(H$499:H504)-SUM(I$499:I504)</f>
        <v>1438.7315610426047</v>
      </c>
      <c r="G505" s="114">
        <f t="shared" si="154"/>
        <v>29.627621658686671</v>
      </c>
      <c r="H505" s="114">
        <f t="shared" si="151"/>
        <v>91.1</v>
      </c>
      <c r="I505" s="116">
        <f t="shared" si="152"/>
        <v>4.8154374028403142</v>
      </c>
      <c r="J505" s="134"/>
    </row>
    <row r="506" spans="1:10" x14ac:dyDescent="0.2">
      <c r="A506" s="109" t="s">
        <v>80</v>
      </c>
      <c r="B506" s="110">
        <f t="shared" si="155"/>
        <v>39083</v>
      </c>
      <c r="C506" s="110">
        <v>39172</v>
      </c>
      <c r="D506" s="111">
        <f t="shared" si="153"/>
        <v>90</v>
      </c>
      <c r="E506" s="111">
        <v>8.25</v>
      </c>
      <c r="F506" s="131">
        <f>F$495+G$500-SUM(H$499:H505)-SUM(I$499:I505)</f>
        <v>1342.8161236397643</v>
      </c>
      <c r="G506" s="114">
        <f t="shared" si="154"/>
        <v>27.316191008288357</v>
      </c>
      <c r="H506" s="114">
        <f t="shared" si="151"/>
        <v>91.1</v>
      </c>
      <c r="I506" s="116">
        <f t="shared" si="152"/>
        <v>4.8154374028403142</v>
      </c>
      <c r="J506" s="134"/>
    </row>
    <row r="507" spans="1:10" x14ac:dyDescent="0.2">
      <c r="A507" s="109" t="s">
        <v>81</v>
      </c>
      <c r="B507" s="110">
        <f t="shared" si="155"/>
        <v>39173</v>
      </c>
      <c r="C507" s="110">
        <v>39263</v>
      </c>
      <c r="D507" s="111">
        <f t="shared" si="153"/>
        <v>91</v>
      </c>
      <c r="E507" s="111">
        <v>8.25</v>
      </c>
      <c r="F507" s="131">
        <f>F$495+G$500-SUM(H$499:H506)-SUM(I$499:I506)</f>
        <v>1246.900686236924</v>
      </c>
      <c r="G507" s="114">
        <f t="shared" si="154"/>
        <v>25.646868224448514</v>
      </c>
      <c r="H507" s="114">
        <f t="shared" si="151"/>
        <v>91.1</v>
      </c>
      <c r="I507" s="116">
        <f t="shared" si="152"/>
        <v>4.8154374028403142</v>
      </c>
      <c r="J507" s="134"/>
    </row>
    <row r="508" spans="1:10" x14ac:dyDescent="0.2">
      <c r="A508" s="109" t="s">
        <v>82</v>
      </c>
      <c r="B508" s="110">
        <f t="shared" si="155"/>
        <v>39264</v>
      </c>
      <c r="C508" s="110">
        <v>39355</v>
      </c>
      <c r="D508" s="111">
        <f t="shared" si="153"/>
        <v>92</v>
      </c>
      <c r="E508" s="111">
        <v>8.25</v>
      </c>
      <c r="F508" s="131">
        <f>F$495+G$500-SUM(H$499:H507)-SUM(I$499:I507)</f>
        <v>1150.9852488340839</v>
      </c>
      <c r="G508" s="114">
        <f t="shared" si="154"/>
        <v>23.934186407262185</v>
      </c>
      <c r="H508" s="114">
        <f t="shared" si="151"/>
        <v>91.1</v>
      </c>
      <c r="I508" s="116">
        <f t="shared" si="152"/>
        <v>4.8154374028403142</v>
      </c>
      <c r="J508" s="134"/>
    </row>
    <row r="509" spans="1:10" x14ac:dyDescent="0.2">
      <c r="A509" s="123" t="s">
        <v>83</v>
      </c>
      <c r="B509" s="110">
        <f t="shared" si="155"/>
        <v>39356</v>
      </c>
      <c r="C509" s="110">
        <v>39447</v>
      </c>
      <c r="D509" s="111">
        <f t="shared" si="153"/>
        <v>92</v>
      </c>
      <c r="E509" s="111">
        <v>8.25</v>
      </c>
      <c r="F509" s="131">
        <f>F$495+G$500-SUM(H$499:H508)-SUM(I$499:I508)</f>
        <v>1055.0698114312434</v>
      </c>
      <c r="G509" s="114">
        <f t="shared" si="154"/>
        <v>21.939670873323664</v>
      </c>
      <c r="H509" s="114">
        <f t="shared" si="151"/>
        <v>91.1</v>
      </c>
      <c r="I509" s="116">
        <f t="shared" si="152"/>
        <v>4.8154374028403142</v>
      </c>
      <c r="J509" s="134"/>
    </row>
    <row r="510" spans="1:10" x14ac:dyDescent="0.2">
      <c r="A510" s="123" t="s">
        <v>105</v>
      </c>
      <c r="B510" s="110">
        <f t="shared" si="155"/>
        <v>39448</v>
      </c>
      <c r="C510" s="110">
        <v>39538</v>
      </c>
      <c r="D510" s="111">
        <f t="shared" ref="D510:D520" si="156">+C510-B510+1</f>
        <v>91</v>
      </c>
      <c r="E510" s="111">
        <v>7.76</v>
      </c>
      <c r="F510" s="131">
        <f>F$495+G$500-SUM(H$499:H509)-SUM(I$499:I509)</f>
        <v>959.15437402840303</v>
      </c>
      <c r="G510" s="114">
        <f>+D510/366*E510/100*F510</f>
        <v>18.505914009942543</v>
      </c>
      <c r="H510" s="114">
        <f t="shared" ref="H510:H519" si="157">F$495/20</f>
        <v>91.1</v>
      </c>
      <c r="I510" s="115">
        <f t="shared" ref="I510:I519" si="158">G$500/20</f>
        <v>4.8154374028403142</v>
      </c>
      <c r="J510" s="96"/>
    </row>
    <row r="511" spans="1:10" x14ac:dyDescent="0.2">
      <c r="A511" s="123" t="s">
        <v>106</v>
      </c>
      <c r="B511" s="110">
        <f t="shared" si="155"/>
        <v>39539</v>
      </c>
      <c r="C511" s="110">
        <v>39629</v>
      </c>
      <c r="D511" s="111">
        <f t="shared" si="156"/>
        <v>91</v>
      </c>
      <c r="E511" s="111">
        <v>6.77</v>
      </c>
      <c r="F511" s="131">
        <f>F$495+G$500-SUM(H$499:H510)-SUM(I$499:I510)</f>
        <v>863.2389366255627</v>
      </c>
      <c r="G511" s="114">
        <f>+D511/366*E511/100*F511</f>
        <v>14.530481193631431</v>
      </c>
      <c r="H511" s="114">
        <f t="shared" si="157"/>
        <v>91.1</v>
      </c>
      <c r="I511" s="115">
        <f t="shared" si="158"/>
        <v>4.8154374028403142</v>
      </c>
      <c r="J511" s="96"/>
    </row>
    <row r="512" spans="1:10" x14ac:dyDescent="0.2">
      <c r="A512" s="123" t="s">
        <v>107</v>
      </c>
      <c r="B512" s="110">
        <f t="shared" si="155"/>
        <v>39630</v>
      </c>
      <c r="C512" s="110">
        <v>39721</v>
      </c>
      <c r="D512" s="111">
        <f t="shared" si="156"/>
        <v>92</v>
      </c>
      <c r="E512" s="111">
        <v>5.3</v>
      </c>
      <c r="F512" s="131">
        <f>F$495+G$500-SUM(H$499:H511)-SUM(I$499:I511)</f>
        <v>767.32349922272249</v>
      </c>
      <c r="G512" s="114">
        <f>+D512/366*E512/100*F512</f>
        <v>10.222593940464467</v>
      </c>
      <c r="H512" s="114">
        <f t="shared" si="157"/>
        <v>91.1</v>
      </c>
      <c r="I512" s="115">
        <f t="shared" si="158"/>
        <v>4.8154374028403142</v>
      </c>
      <c r="J512" s="96"/>
    </row>
    <row r="513" spans="1:10" x14ac:dyDescent="0.2">
      <c r="A513" s="123" t="s">
        <v>100</v>
      </c>
      <c r="B513" s="110">
        <f t="shared" si="155"/>
        <v>39722</v>
      </c>
      <c r="C513" s="110">
        <v>39813</v>
      </c>
      <c r="D513" s="111">
        <f t="shared" si="156"/>
        <v>92</v>
      </c>
      <c r="E513" s="111">
        <v>5</v>
      </c>
      <c r="F513" s="131">
        <f>F$495+G$500-SUM(H$499:H512)-SUM(I$499:I512)</f>
        <v>671.40806181988228</v>
      </c>
      <c r="G513" s="114">
        <f>+D513/366*E513/100*F513</f>
        <v>8.4384619791569904</v>
      </c>
      <c r="H513" s="114">
        <f t="shared" si="157"/>
        <v>91.1</v>
      </c>
      <c r="I513" s="115">
        <f t="shared" si="158"/>
        <v>4.8154374028403142</v>
      </c>
      <c r="J513" s="96"/>
    </row>
    <row r="514" spans="1:10" x14ac:dyDescent="0.2">
      <c r="A514" s="123" t="s">
        <v>108</v>
      </c>
      <c r="B514" s="110">
        <f t="shared" si="155"/>
        <v>39814</v>
      </c>
      <c r="C514" s="110">
        <v>39903</v>
      </c>
      <c r="D514" s="111">
        <f t="shared" si="156"/>
        <v>90</v>
      </c>
      <c r="E514" s="111">
        <v>4.5199999999999996</v>
      </c>
      <c r="F514" s="131">
        <f>F$495+G$500-SUM(H$499:H513)-SUM(I$499:I513)</f>
        <v>575.49262441704195</v>
      </c>
      <c r="G514" s="114">
        <f t="shared" ref="G514:G520" si="159">+D514/365*E514/100*F514</f>
        <v>6.4139835510370595</v>
      </c>
      <c r="H514" s="114">
        <f t="shared" si="157"/>
        <v>91.1</v>
      </c>
      <c r="I514" s="115">
        <f t="shared" si="158"/>
        <v>4.8154374028403142</v>
      </c>
      <c r="J514" s="96"/>
    </row>
    <row r="515" spans="1:10" x14ac:dyDescent="0.2">
      <c r="A515" s="123" t="s">
        <v>109</v>
      </c>
      <c r="B515" s="110">
        <f t="shared" si="155"/>
        <v>39904</v>
      </c>
      <c r="C515" s="110">
        <v>39994</v>
      </c>
      <c r="D515" s="111">
        <f t="shared" si="156"/>
        <v>91</v>
      </c>
      <c r="E515" s="111">
        <v>3.37</v>
      </c>
      <c r="F515" s="131">
        <f>F$495+G$500-SUM(H$499:H514)-SUM(I$499:I514)</f>
        <v>479.5771870142018</v>
      </c>
      <c r="G515" s="114">
        <f t="shared" si="159"/>
        <v>4.0293681079902806</v>
      </c>
      <c r="H515" s="114">
        <f t="shared" si="157"/>
        <v>91.1</v>
      </c>
      <c r="I515" s="115">
        <f t="shared" si="158"/>
        <v>4.8154374028403142</v>
      </c>
      <c r="J515" s="96"/>
    </row>
    <row r="516" spans="1:10" x14ac:dyDescent="0.2">
      <c r="A516" s="123" t="s">
        <v>111</v>
      </c>
      <c r="B516" s="110">
        <f t="shared" si="155"/>
        <v>39995</v>
      </c>
      <c r="C516" s="110">
        <v>40086</v>
      </c>
      <c r="D516" s="111">
        <f t="shared" si="156"/>
        <v>92</v>
      </c>
      <c r="E516" s="111">
        <v>3.25</v>
      </c>
      <c r="F516" s="131">
        <f>F$495+G$500-SUM(H$499:H515)-SUM(I$499:I515)</f>
        <v>383.66174961136153</v>
      </c>
      <c r="G516" s="114">
        <f t="shared" si="159"/>
        <v>3.142872962569784</v>
      </c>
      <c r="H516" s="114">
        <f t="shared" si="157"/>
        <v>91.1</v>
      </c>
      <c r="I516" s="115">
        <f t="shared" si="158"/>
        <v>4.8154374028403142</v>
      </c>
      <c r="J516" s="96"/>
    </row>
    <row r="517" spans="1:10" x14ac:dyDescent="0.2">
      <c r="A517" s="123" t="s">
        <v>101</v>
      </c>
      <c r="B517" s="110">
        <f t="shared" si="155"/>
        <v>40087</v>
      </c>
      <c r="C517" s="110">
        <v>40178</v>
      </c>
      <c r="D517" s="111">
        <f t="shared" si="156"/>
        <v>92</v>
      </c>
      <c r="E517" s="111">
        <f>E516</f>
        <v>3.25</v>
      </c>
      <c r="F517" s="131">
        <f>F$495+G$500-SUM(H$499:H516)-SUM(I$499:I516)</f>
        <v>287.74631220852132</v>
      </c>
      <c r="G517" s="114">
        <f t="shared" si="159"/>
        <v>2.3571547219273392</v>
      </c>
      <c r="H517" s="114">
        <f t="shared" si="157"/>
        <v>91.1</v>
      </c>
      <c r="I517" s="115">
        <f t="shared" si="158"/>
        <v>4.8154374028403142</v>
      </c>
      <c r="J517" s="96"/>
    </row>
    <row r="518" spans="1:10" x14ac:dyDescent="0.2">
      <c r="A518" s="123" t="s">
        <v>112</v>
      </c>
      <c r="B518" s="110">
        <f t="shared" si="155"/>
        <v>40179</v>
      </c>
      <c r="C518" s="110">
        <v>40268</v>
      </c>
      <c r="D518" s="111">
        <f t="shared" si="156"/>
        <v>90</v>
      </c>
      <c r="E518" s="111">
        <f>E517</f>
        <v>3.25</v>
      </c>
      <c r="F518" s="131">
        <f>F$495+G$500-SUM(H$499:H517)-SUM(I$499:I517)</f>
        <v>191.83087480568111</v>
      </c>
      <c r="G518" s="114">
        <f t="shared" si="159"/>
        <v>1.5372748186482663</v>
      </c>
      <c r="H518" s="114">
        <f t="shared" si="157"/>
        <v>91.1</v>
      </c>
      <c r="I518" s="115">
        <f t="shared" si="158"/>
        <v>4.8154374028403142</v>
      </c>
      <c r="J518" s="96"/>
    </row>
    <row r="519" spans="1:10" x14ac:dyDescent="0.2">
      <c r="A519" s="123" t="s">
        <v>113</v>
      </c>
      <c r="B519" s="110">
        <f t="shared" si="155"/>
        <v>40269</v>
      </c>
      <c r="C519" s="110">
        <v>40359</v>
      </c>
      <c r="D519" s="111">
        <f t="shared" si="156"/>
        <v>91</v>
      </c>
      <c r="E519" s="111">
        <f>E518</f>
        <v>3.25</v>
      </c>
      <c r="F519" s="131">
        <f>F$495+G$500-SUM(H$499:H518)-SUM(I$499:I518)</f>
        <v>95.91543740284088</v>
      </c>
      <c r="G519" s="114">
        <f t="shared" si="159"/>
        <v>0.77717782498329291</v>
      </c>
      <c r="H519" s="114">
        <f t="shared" si="157"/>
        <v>91.1</v>
      </c>
      <c r="I519" s="115">
        <f t="shared" si="158"/>
        <v>4.8154374028403142</v>
      </c>
      <c r="J519" s="96"/>
    </row>
    <row r="520" spans="1:10" x14ac:dyDescent="0.2">
      <c r="A520" s="124" t="s">
        <v>114</v>
      </c>
      <c r="B520" s="125">
        <f t="shared" si="155"/>
        <v>40360</v>
      </c>
      <c r="C520" s="125">
        <v>40451</v>
      </c>
      <c r="D520" s="126">
        <f t="shared" si="156"/>
        <v>92</v>
      </c>
      <c r="E520" s="126">
        <f>E519</f>
        <v>3.25</v>
      </c>
      <c r="F520" s="132">
        <f>F$495+G$500-SUM(H$499:H519)-SUM(I$499:I519)</f>
        <v>6.5369931689929217E-13</v>
      </c>
      <c r="G520" s="127">
        <f t="shared" si="159"/>
        <v>5.354961527476394E-15</v>
      </c>
      <c r="H520" s="127">
        <v>0</v>
      </c>
      <c r="I520" s="128">
        <v>0</v>
      </c>
      <c r="J520" s="96"/>
    </row>
    <row r="522" spans="1:10" x14ac:dyDescent="0.2">
      <c r="A522" s="387" t="s">
        <v>65</v>
      </c>
      <c r="B522" s="388"/>
      <c r="C522" s="388"/>
      <c r="D522" s="388"/>
      <c r="E522" s="388"/>
      <c r="F522" s="388"/>
      <c r="G522" s="388"/>
      <c r="H522" s="388"/>
      <c r="I522" s="388"/>
      <c r="J522" s="389"/>
    </row>
    <row r="523" spans="1:10" x14ac:dyDescent="0.2">
      <c r="A523" s="30" t="s">
        <v>10</v>
      </c>
      <c r="B523" s="30" t="s">
        <v>11</v>
      </c>
      <c r="C523" s="30" t="s">
        <v>12</v>
      </c>
      <c r="D523" s="30" t="s">
        <v>13</v>
      </c>
      <c r="E523" s="30" t="s">
        <v>14</v>
      </c>
      <c r="F523" s="30" t="s">
        <v>15</v>
      </c>
      <c r="G523" s="30" t="s">
        <v>16</v>
      </c>
      <c r="H523" s="30"/>
      <c r="I523" s="30"/>
      <c r="J523" s="30" t="s">
        <v>17</v>
      </c>
    </row>
    <row r="524" spans="1:10" ht="51" x14ac:dyDescent="0.2">
      <c r="A524" s="70" t="s">
        <v>18</v>
      </c>
      <c r="B524" s="70" t="s">
        <v>19</v>
      </c>
      <c r="C524" s="70" t="s">
        <v>20</v>
      </c>
      <c r="D524" s="70" t="s">
        <v>21</v>
      </c>
      <c r="E524" s="70" t="s">
        <v>22</v>
      </c>
      <c r="F524" s="70" t="s">
        <v>23</v>
      </c>
      <c r="G524" s="6" t="s">
        <v>130</v>
      </c>
      <c r="H524" s="6" t="s">
        <v>37</v>
      </c>
      <c r="I524" s="6" t="s">
        <v>131</v>
      </c>
      <c r="J524" s="70" t="s">
        <v>25</v>
      </c>
    </row>
    <row r="525" spans="1:10" x14ac:dyDescent="0.2">
      <c r="A525" s="109" t="s">
        <v>45</v>
      </c>
      <c r="B525" s="110">
        <v>38306</v>
      </c>
      <c r="C525" s="110">
        <v>38352</v>
      </c>
      <c r="D525" s="111">
        <f>+C525-B525+1</f>
        <v>47</v>
      </c>
      <c r="E525" s="112">
        <v>4.22</v>
      </c>
      <c r="F525" s="113">
        <f>E31</f>
        <v>-190966.49</v>
      </c>
      <c r="G525" s="107">
        <f>+D525/365*E525/100*F525</f>
        <v>-1037.7066747013698</v>
      </c>
      <c r="H525" s="241"/>
      <c r="I525" s="242"/>
      <c r="J525" s="142">
        <f>+F525+G525</f>
        <v>-192004.19667470135</v>
      </c>
    </row>
    <row r="526" spans="1:10" x14ac:dyDescent="0.2">
      <c r="A526" s="102" t="s">
        <v>43</v>
      </c>
      <c r="B526" s="103">
        <v>38353</v>
      </c>
      <c r="C526" s="103">
        <v>38442</v>
      </c>
      <c r="D526" s="104">
        <f>+C526-B526+1</f>
        <v>90</v>
      </c>
      <c r="E526" s="105">
        <v>4.75</v>
      </c>
      <c r="F526" s="113">
        <f>+J525</f>
        <v>-192004.19667470135</v>
      </c>
      <c r="G526" s="107">
        <f>+D526/365*E526/100*F526</f>
        <v>-2248.8162761215021</v>
      </c>
      <c r="H526" s="107"/>
      <c r="I526" s="108"/>
      <c r="J526" s="142">
        <f>+F526+G526</f>
        <v>-194253.01295082286</v>
      </c>
    </row>
    <row r="527" spans="1:10" x14ac:dyDescent="0.2">
      <c r="A527" s="109" t="s">
        <v>40</v>
      </c>
      <c r="B527" s="110">
        <v>38443</v>
      </c>
      <c r="C527" s="110">
        <v>38533</v>
      </c>
      <c r="D527" s="111">
        <f>+C527-B527+1</f>
        <v>91</v>
      </c>
      <c r="E527" s="112">
        <v>5.3</v>
      </c>
      <c r="F527" s="113">
        <f>+J526</f>
        <v>-194253.01295082286</v>
      </c>
      <c r="G527" s="114">
        <f>+D527/365*E527/100*F527</f>
        <v>-2566.8007711282698</v>
      </c>
      <c r="H527" s="114"/>
      <c r="I527" s="115"/>
      <c r="J527" s="129">
        <f>+F527+G527</f>
        <v>-196819.81372195113</v>
      </c>
    </row>
    <row r="528" spans="1:10" x14ac:dyDescent="0.2">
      <c r="A528" s="109" t="s">
        <v>42</v>
      </c>
      <c r="B528" s="110">
        <v>38534</v>
      </c>
      <c r="C528" s="110">
        <v>38625</v>
      </c>
      <c r="D528" s="111">
        <f>+C528-B528+1</f>
        <v>92</v>
      </c>
      <c r="E528" s="112">
        <v>5.77</v>
      </c>
      <c r="F528" s="113">
        <f>+J527</f>
        <v>-196819.81372195113</v>
      </c>
      <c r="G528" s="114">
        <f>+D528/365*E528/100*F528</f>
        <v>-2862.4610935934393</v>
      </c>
      <c r="H528" s="114">
        <f>F$526/20</f>
        <v>-9600.2098337350671</v>
      </c>
      <c r="I528" s="115">
        <f>G$529/20</f>
        <v>-435.78924077722905</v>
      </c>
      <c r="J528" s="129">
        <f>+F528+G528</f>
        <v>-199682.27481554457</v>
      </c>
    </row>
    <row r="529" spans="1:10" x14ac:dyDescent="0.2">
      <c r="A529" s="117"/>
      <c r="B529" s="118"/>
      <c r="C529" s="118"/>
      <c r="D529" s="130"/>
      <c r="E529" s="393" t="s">
        <v>132</v>
      </c>
      <c r="F529" s="394"/>
      <c r="G529" s="120">
        <f>SUM(G525:G528)</f>
        <v>-8715.7848155445809</v>
      </c>
      <c r="H529" s="120"/>
      <c r="I529" s="121"/>
      <c r="J529" s="135"/>
    </row>
    <row r="530" spans="1:10" x14ac:dyDescent="0.2">
      <c r="A530" s="123" t="s">
        <v>36</v>
      </c>
      <c r="B530" s="110">
        <v>38626</v>
      </c>
      <c r="C530" s="110">
        <v>38717</v>
      </c>
      <c r="D530" s="111">
        <f>+C530-B530+1</f>
        <v>92</v>
      </c>
      <c r="E530" s="122">
        <v>6.23</v>
      </c>
      <c r="F530" s="131">
        <f>F$525+G$529-SUM(H$528:H529)-SUM(I$528:I529)</f>
        <v>-189646.27574103227</v>
      </c>
      <c r="G530" s="114">
        <f>+D530/365*E530/100*F530</f>
        <v>-2978.0180658556183</v>
      </c>
      <c r="H530" s="114">
        <f t="shared" ref="H530:H538" si="160">F$526/20</f>
        <v>-9600.2098337350671</v>
      </c>
      <c r="I530" s="116">
        <f t="shared" ref="I530:I538" si="161">G$529/20</f>
        <v>-435.78924077722905</v>
      </c>
      <c r="J530" s="134"/>
    </row>
    <row r="531" spans="1:10" x14ac:dyDescent="0.2">
      <c r="A531" s="109" t="s">
        <v>76</v>
      </c>
      <c r="B531" s="110">
        <f>C530+1</f>
        <v>38718</v>
      </c>
      <c r="C531" s="110">
        <v>38807</v>
      </c>
      <c r="D531" s="111">
        <f t="shared" ref="D531:D538" si="162">+C531-B531+1</f>
        <v>90</v>
      </c>
      <c r="E531" s="112">
        <v>6.78</v>
      </c>
      <c r="F531" s="131">
        <f>F$525+G$529-SUM(H$528:H530)-SUM(I$528:I530)</f>
        <v>-179610.27666651999</v>
      </c>
      <c r="G531" s="114">
        <f t="shared" ref="G531:G538" si="163">+D531/365*E531/100*F531</f>
        <v>-3002.6901595043964</v>
      </c>
      <c r="H531" s="114">
        <f t="shared" si="160"/>
        <v>-9600.2098337350671</v>
      </c>
      <c r="I531" s="116">
        <f t="shared" si="161"/>
        <v>-435.78924077722905</v>
      </c>
      <c r="J531" s="137"/>
    </row>
    <row r="532" spans="1:10" x14ac:dyDescent="0.2">
      <c r="A532" s="109" t="s">
        <v>77</v>
      </c>
      <c r="B532" s="110">
        <f t="shared" ref="B532:B549" si="164">C531+1</f>
        <v>38808</v>
      </c>
      <c r="C532" s="110">
        <v>38898</v>
      </c>
      <c r="D532" s="111">
        <f t="shared" si="162"/>
        <v>91</v>
      </c>
      <c r="E532" s="112">
        <v>7.3</v>
      </c>
      <c r="F532" s="131">
        <f>F$525+G$529-SUM(H$528:H531)-SUM(I$528:I531)</f>
        <v>-169574.27759200768</v>
      </c>
      <c r="G532" s="114">
        <f t="shared" si="163"/>
        <v>-3086.2518521745401</v>
      </c>
      <c r="H532" s="114">
        <f t="shared" si="160"/>
        <v>-9600.2098337350671</v>
      </c>
      <c r="I532" s="116">
        <f t="shared" si="161"/>
        <v>-435.78924077722905</v>
      </c>
      <c r="J532" s="137"/>
    </row>
    <row r="533" spans="1:10" x14ac:dyDescent="0.2">
      <c r="A533" s="109" t="s">
        <v>78</v>
      </c>
      <c r="B533" s="110">
        <f t="shared" si="164"/>
        <v>38899</v>
      </c>
      <c r="C533" s="110">
        <v>38990</v>
      </c>
      <c r="D533" s="111">
        <f t="shared" si="162"/>
        <v>92</v>
      </c>
      <c r="E533" s="111">
        <v>7.74</v>
      </c>
      <c r="F533" s="131">
        <f>F$525+G$529-SUM(H$528:H532)-SUM(I$528:I532)</f>
        <v>-159538.27851749538</v>
      </c>
      <c r="G533" s="114">
        <f t="shared" si="163"/>
        <v>-3112.4388319654281</v>
      </c>
      <c r="H533" s="114">
        <f t="shared" si="160"/>
        <v>-9600.2098337350671</v>
      </c>
      <c r="I533" s="116">
        <f t="shared" si="161"/>
        <v>-435.78924077722905</v>
      </c>
      <c r="J533" s="137"/>
    </row>
    <row r="534" spans="1:10" x14ac:dyDescent="0.2">
      <c r="A534" s="109" t="s">
        <v>79</v>
      </c>
      <c r="B534" s="110">
        <f t="shared" si="164"/>
        <v>38991</v>
      </c>
      <c r="C534" s="110">
        <v>39082</v>
      </c>
      <c r="D534" s="111">
        <f t="shared" si="162"/>
        <v>92</v>
      </c>
      <c r="E534" s="111">
        <v>8.17</v>
      </c>
      <c r="F534" s="131">
        <f>F$525+G$529-SUM(H$528:H533)-SUM(I$528:I533)</f>
        <v>-149502.27944298307</v>
      </c>
      <c r="G534" s="114">
        <f t="shared" si="163"/>
        <v>-3078.682008781474</v>
      </c>
      <c r="H534" s="114">
        <f t="shared" si="160"/>
        <v>-9600.2098337350671</v>
      </c>
      <c r="I534" s="116">
        <f t="shared" si="161"/>
        <v>-435.78924077722905</v>
      </c>
      <c r="J534" s="137"/>
    </row>
    <row r="535" spans="1:10" x14ac:dyDescent="0.2">
      <c r="A535" s="109" t="s">
        <v>80</v>
      </c>
      <c r="B535" s="110">
        <f t="shared" si="164"/>
        <v>39083</v>
      </c>
      <c r="C535" s="110">
        <v>39172</v>
      </c>
      <c r="D535" s="111">
        <f t="shared" si="162"/>
        <v>90</v>
      </c>
      <c r="E535" s="111">
        <v>8.25</v>
      </c>
      <c r="F535" s="131">
        <f>F$525+G$529-SUM(H$528:H534)-SUM(I$528:I534)</f>
        <v>-139466.28036847079</v>
      </c>
      <c r="G535" s="114">
        <f t="shared" si="163"/>
        <v>-2837.0880321531386</v>
      </c>
      <c r="H535" s="114">
        <f t="shared" si="160"/>
        <v>-9600.2098337350671</v>
      </c>
      <c r="I535" s="116">
        <f t="shared" si="161"/>
        <v>-435.78924077722905</v>
      </c>
      <c r="J535" s="137"/>
    </row>
    <row r="536" spans="1:10" x14ac:dyDescent="0.2">
      <c r="A536" s="109" t="s">
        <v>81</v>
      </c>
      <c r="B536" s="110">
        <f t="shared" si="164"/>
        <v>39173</v>
      </c>
      <c r="C536" s="110">
        <v>39263</v>
      </c>
      <c r="D536" s="111">
        <f t="shared" si="162"/>
        <v>91</v>
      </c>
      <c r="E536" s="111">
        <v>8.25</v>
      </c>
      <c r="F536" s="131">
        <f>F$525+G$529-SUM(H$528:H535)-SUM(I$528:I535)</f>
        <v>-129430.2812939585</v>
      </c>
      <c r="G536" s="114">
        <f t="shared" si="163"/>
        <v>-2662.1858542860095</v>
      </c>
      <c r="H536" s="114">
        <f t="shared" si="160"/>
        <v>-9600.2098337350671</v>
      </c>
      <c r="I536" s="116">
        <f t="shared" si="161"/>
        <v>-435.78924077722905</v>
      </c>
      <c r="J536" s="137"/>
    </row>
    <row r="537" spans="1:10" x14ac:dyDescent="0.2">
      <c r="A537" s="109" t="s">
        <v>82</v>
      </c>
      <c r="B537" s="110">
        <f t="shared" si="164"/>
        <v>39264</v>
      </c>
      <c r="C537" s="110">
        <v>39355</v>
      </c>
      <c r="D537" s="111">
        <f t="shared" si="162"/>
        <v>92</v>
      </c>
      <c r="E537" s="111">
        <v>8.25</v>
      </c>
      <c r="F537" s="131">
        <f>F$525+G$529-SUM(H$528:H536)-SUM(I$528:I536)</f>
        <v>-119394.28221944621</v>
      </c>
      <c r="G537" s="114">
        <f t="shared" si="163"/>
        <v>-2482.7468549194432</v>
      </c>
      <c r="H537" s="114">
        <f t="shared" si="160"/>
        <v>-9600.2098337350671</v>
      </c>
      <c r="I537" s="116">
        <f t="shared" si="161"/>
        <v>-435.78924077722905</v>
      </c>
      <c r="J537" s="137"/>
    </row>
    <row r="538" spans="1:10" x14ac:dyDescent="0.2">
      <c r="A538" s="123" t="s">
        <v>83</v>
      </c>
      <c r="B538" s="110">
        <f t="shared" si="164"/>
        <v>39356</v>
      </c>
      <c r="C538" s="110">
        <v>39447</v>
      </c>
      <c r="D538" s="111">
        <f t="shared" si="162"/>
        <v>92</v>
      </c>
      <c r="E538" s="111">
        <v>8.25</v>
      </c>
      <c r="F538" s="131">
        <f>F$525+G$529-SUM(H$528:H537)-SUM(I$528:I537)</f>
        <v>-109358.28314493391</v>
      </c>
      <c r="G538" s="114">
        <f t="shared" si="163"/>
        <v>-2274.0530659453384</v>
      </c>
      <c r="H538" s="114">
        <f t="shared" si="160"/>
        <v>-9600.2098337350671</v>
      </c>
      <c r="I538" s="116">
        <f t="shared" si="161"/>
        <v>-435.78924077722905</v>
      </c>
      <c r="J538" s="137"/>
    </row>
    <row r="539" spans="1:10" x14ac:dyDescent="0.2">
      <c r="A539" s="123" t="s">
        <v>105</v>
      </c>
      <c r="B539" s="110">
        <f t="shared" si="164"/>
        <v>39448</v>
      </c>
      <c r="C539" s="110">
        <v>39538</v>
      </c>
      <c r="D539" s="111">
        <f t="shared" ref="D539:D549" si="165">+C539-B539+1</f>
        <v>91</v>
      </c>
      <c r="E539" s="111">
        <v>7.76</v>
      </c>
      <c r="F539" s="131">
        <f>F$525+G$529-SUM(H$528:H538)-SUM(I$528:I538)</f>
        <v>-99322.284070421621</v>
      </c>
      <c r="G539" s="114">
        <f>+D539/366*E539/100*F539</f>
        <v>-1916.3230633652715</v>
      </c>
      <c r="H539" s="114">
        <f t="shared" ref="H539:H548" si="166">F$526/20</f>
        <v>-9600.2098337350671</v>
      </c>
      <c r="I539" s="115">
        <f t="shared" ref="I539:I548" si="167">G$529/20</f>
        <v>-435.78924077722905</v>
      </c>
    </row>
    <row r="540" spans="1:10" x14ac:dyDescent="0.2">
      <c r="A540" s="123" t="s">
        <v>106</v>
      </c>
      <c r="B540" s="110">
        <f t="shared" si="164"/>
        <v>39539</v>
      </c>
      <c r="C540" s="110">
        <v>39629</v>
      </c>
      <c r="D540" s="111">
        <f t="shared" si="165"/>
        <v>91</v>
      </c>
      <c r="E540" s="111">
        <v>6.77</v>
      </c>
      <c r="F540" s="131">
        <f>F$525+G$529-SUM(H$528:H539)-SUM(I$528:I539)</f>
        <v>-89286.284995909329</v>
      </c>
      <c r="G540" s="114">
        <f>+D540/366*E540/100*F540</f>
        <v>-1502.9126119516354</v>
      </c>
      <c r="H540" s="114">
        <f t="shared" si="166"/>
        <v>-9600.2098337350671</v>
      </c>
      <c r="I540" s="115">
        <f t="shared" si="167"/>
        <v>-435.78924077722905</v>
      </c>
    </row>
    <row r="541" spans="1:10" x14ac:dyDescent="0.2">
      <c r="A541" s="123" t="s">
        <v>107</v>
      </c>
      <c r="B541" s="110">
        <f t="shared" si="164"/>
        <v>39630</v>
      </c>
      <c r="C541" s="110">
        <v>39721</v>
      </c>
      <c r="D541" s="111">
        <f t="shared" si="165"/>
        <v>92</v>
      </c>
      <c r="E541" s="111">
        <v>5.3</v>
      </c>
      <c r="F541" s="131">
        <f>F$525+G$529-SUM(H$528:H540)-SUM(I$528:I540)</f>
        <v>-79250.285921397037</v>
      </c>
      <c r="G541" s="114">
        <f>+D541/366*E541/100*F541</f>
        <v>-1055.8043556085572</v>
      </c>
      <c r="H541" s="114">
        <f t="shared" si="166"/>
        <v>-9600.2098337350671</v>
      </c>
      <c r="I541" s="115">
        <f t="shared" si="167"/>
        <v>-435.78924077722905</v>
      </c>
    </row>
    <row r="542" spans="1:10" x14ac:dyDescent="0.2">
      <c r="A542" s="123" t="s">
        <v>100</v>
      </c>
      <c r="B542" s="110">
        <f t="shared" si="164"/>
        <v>39722</v>
      </c>
      <c r="C542" s="110">
        <v>39813</v>
      </c>
      <c r="D542" s="111">
        <f t="shared" si="165"/>
        <v>92</v>
      </c>
      <c r="E542" s="111">
        <v>5</v>
      </c>
      <c r="F542" s="131">
        <f>F$525+G$529-SUM(H$528:H541)-SUM(I$528:I541)</f>
        <v>-69214.286846884745</v>
      </c>
      <c r="G542" s="114">
        <f>+D542/366*E542/100*F542</f>
        <v>-869.90633741986289</v>
      </c>
      <c r="H542" s="114">
        <f t="shared" si="166"/>
        <v>-9600.2098337350671</v>
      </c>
      <c r="I542" s="115">
        <f t="shared" si="167"/>
        <v>-435.78924077722905</v>
      </c>
    </row>
    <row r="543" spans="1:10" x14ac:dyDescent="0.2">
      <c r="A543" s="123" t="s">
        <v>108</v>
      </c>
      <c r="B543" s="110">
        <f t="shared" si="164"/>
        <v>39814</v>
      </c>
      <c r="C543" s="110">
        <v>39903</v>
      </c>
      <c r="D543" s="111">
        <f t="shared" si="165"/>
        <v>90</v>
      </c>
      <c r="E543" s="111">
        <v>4.5199999999999996</v>
      </c>
      <c r="F543" s="131">
        <f>F$525+G$529-SUM(H$528:H542)-SUM(I$528:I542)</f>
        <v>-59178.287772372445</v>
      </c>
      <c r="G543" s="114">
        <f t="shared" ref="G543:G549" si="168">+D543/365*E543/100*F543</f>
        <v>-659.55417714523594</v>
      </c>
      <c r="H543" s="114">
        <f t="shared" si="166"/>
        <v>-9600.2098337350671</v>
      </c>
      <c r="I543" s="115">
        <f t="shared" si="167"/>
        <v>-435.78924077722905</v>
      </c>
    </row>
    <row r="544" spans="1:10" x14ac:dyDescent="0.2">
      <c r="A544" s="123" t="s">
        <v>109</v>
      </c>
      <c r="B544" s="110">
        <f t="shared" si="164"/>
        <v>39904</v>
      </c>
      <c r="C544" s="110">
        <v>39994</v>
      </c>
      <c r="D544" s="111">
        <f t="shared" si="165"/>
        <v>91</v>
      </c>
      <c r="E544" s="111">
        <v>3.37</v>
      </c>
      <c r="F544" s="131">
        <f>F$525+G$529-SUM(H$528:H543)-SUM(I$528:I543)</f>
        <v>-49142.288697860138</v>
      </c>
      <c r="G544" s="114">
        <f t="shared" si="168"/>
        <v>-412.8894705471991</v>
      </c>
      <c r="H544" s="114">
        <f t="shared" si="166"/>
        <v>-9600.2098337350671</v>
      </c>
      <c r="I544" s="115">
        <f t="shared" si="167"/>
        <v>-435.78924077722905</v>
      </c>
    </row>
    <row r="545" spans="1:10" x14ac:dyDescent="0.2">
      <c r="A545" s="123" t="s">
        <v>111</v>
      </c>
      <c r="B545" s="110">
        <f t="shared" si="164"/>
        <v>39995</v>
      </c>
      <c r="C545" s="110">
        <v>40086</v>
      </c>
      <c r="D545" s="111">
        <f t="shared" si="165"/>
        <v>92</v>
      </c>
      <c r="E545" s="111">
        <v>3.25</v>
      </c>
      <c r="F545" s="131">
        <f>F$525+G$529-SUM(H$528:H544)-SUM(I$528:I544)</f>
        <v>-39106.289623347839</v>
      </c>
      <c r="G545" s="114">
        <f t="shared" si="168"/>
        <v>-320.35015335290427</v>
      </c>
      <c r="H545" s="114">
        <f t="shared" si="166"/>
        <v>-9600.2098337350671</v>
      </c>
      <c r="I545" s="115">
        <f t="shared" si="167"/>
        <v>-435.78924077722905</v>
      </c>
    </row>
    <row r="546" spans="1:10" x14ac:dyDescent="0.2">
      <c r="A546" s="123" t="s">
        <v>101</v>
      </c>
      <c r="B546" s="110">
        <f t="shared" si="164"/>
        <v>40087</v>
      </c>
      <c r="C546" s="110">
        <v>40178</v>
      </c>
      <c r="D546" s="111">
        <f t="shared" si="165"/>
        <v>92</v>
      </c>
      <c r="E546" s="111">
        <f>E545</f>
        <v>3.25</v>
      </c>
      <c r="F546" s="131">
        <f>F$525+G$529-SUM(H$528:H545)-SUM(I$528:I545)</f>
        <v>-29070.290548835532</v>
      </c>
      <c r="G546" s="114">
        <f t="shared" si="168"/>
        <v>-238.13744860552944</v>
      </c>
      <c r="H546" s="114">
        <f t="shared" si="166"/>
        <v>-9600.2098337350671</v>
      </c>
      <c r="I546" s="115">
        <f t="shared" si="167"/>
        <v>-435.78924077722905</v>
      </c>
    </row>
    <row r="547" spans="1:10" x14ac:dyDescent="0.2">
      <c r="A547" s="123" t="s">
        <v>112</v>
      </c>
      <c r="B547" s="110">
        <f t="shared" si="164"/>
        <v>40179</v>
      </c>
      <c r="C547" s="110">
        <v>40268</v>
      </c>
      <c r="D547" s="111">
        <f t="shared" si="165"/>
        <v>90</v>
      </c>
      <c r="E547" s="111">
        <f>E546</f>
        <v>3.25</v>
      </c>
      <c r="F547" s="131">
        <f>F$525+G$529-SUM(H$528:H546)-SUM(I$528:I546)</f>
        <v>-19034.291474323225</v>
      </c>
      <c r="G547" s="114">
        <f t="shared" si="168"/>
        <v>-152.53507551341212</v>
      </c>
      <c r="H547" s="114">
        <f t="shared" si="166"/>
        <v>-9600.2098337350671</v>
      </c>
      <c r="I547" s="115">
        <f t="shared" si="167"/>
        <v>-435.78924077722905</v>
      </c>
    </row>
    <row r="548" spans="1:10" x14ac:dyDescent="0.2">
      <c r="A548" s="123" t="s">
        <v>113</v>
      </c>
      <c r="B548" s="110">
        <f t="shared" si="164"/>
        <v>40269</v>
      </c>
      <c r="C548" s="110">
        <v>40359</v>
      </c>
      <c r="D548" s="111">
        <f t="shared" si="165"/>
        <v>91</v>
      </c>
      <c r="E548" s="111">
        <f>E547</f>
        <v>3.25</v>
      </c>
      <c r="F548" s="131">
        <f>F$525+G$529-SUM(H$528:H547)-SUM(I$528:I547)</f>
        <v>-8998.29239981092</v>
      </c>
      <c r="G548" s="114">
        <f t="shared" si="168"/>
        <v>-72.910821294358342</v>
      </c>
      <c r="H548" s="114">
        <f t="shared" si="166"/>
        <v>-9600.2098337350671</v>
      </c>
      <c r="I548" s="115">
        <f t="shared" si="167"/>
        <v>-435.78924077722905</v>
      </c>
    </row>
    <row r="549" spans="1:10" x14ac:dyDescent="0.2">
      <c r="A549" s="124" t="s">
        <v>114</v>
      </c>
      <c r="B549" s="125">
        <f t="shared" si="164"/>
        <v>40360</v>
      </c>
      <c r="C549" s="125">
        <v>40451</v>
      </c>
      <c r="D549" s="126">
        <f t="shared" si="165"/>
        <v>92</v>
      </c>
      <c r="E549" s="126">
        <f>E548</f>
        <v>3.25</v>
      </c>
      <c r="F549" s="132">
        <f>F$526+G$529-SUM(H$528:H548)-SUM(I$528:I548)</f>
        <v>2.5465851649641991E-11</v>
      </c>
      <c r="G549" s="127">
        <f t="shared" si="168"/>
        <v>2.0861067515734127E-13</v>
      </c>
      <c r="H549" s="127">
        <v>0</v>
      </c>
      <c r="I549" s="128">
        <v>0</v>
      </c>
    </row>
    <row r="555" spans="1:10" ht="51" x14ac:dyDescent="0.2">
      <c r="E555" s="82" t="s">
        <v>146</v>
      </c>
      <c r="G555" s="6" t="s">
        <v>130</v>
      </c>
      <c r="H555" s="6" t="s">
        <v>37</v>
      </c>
      <c r="I555" s="6" t="s">
        <v>147</v>
      </c>
      <c r="J555" s="70" t="s">
        <v>148</v>
      </c>
    </row>
    <row r="556" spans="1:10" x14ac:dyDescent="0.2">
      <c r="E556" s="82"/>
      <c r="G556" s="265"/>
      <c r="H556" s="265"/>
      <c r="I556" s="265"/>
      <c r="J556" s="268"/>
    </row>
    <row r="557" spans="1:10" x14ac:dyDescent="0.2">
      <c r="E557" s="82"/>
      <c r="G557" s="265"/>
      <c r="H557" s="265"/>
      <c r="I557" s="265"/>
      <c r="J557" s="268"/>
    </row>
    <row r="558" spans="1:10" x14ac:dyDescent="0.2">
      <c r="E558" s="82"/>
      <c r="G558" s="55"/>
      <c r="H558" s="55"/>
      <c r="I558" s="55"/>
      <c r="J558" s="55"/>
    </row>
    <row r="559" spans="1:10" x14ac:dyDescent="0.2">
      <c r="F559" s="174" t="s">
        <v>35</v>
      </c>
      <c r="G559" s="269">
        <f>G91+G130+G168+G206+G243+G280+G317+G348+G378+G409+G439+G469+G499+G528</f>
        <v>7791.186296961172</v>
      </c>
      <c r="H559" s="269">
        <f>450120.51/20</f>
        <v>22506.0255</v>
      </c>
      <c r="I559" s="269">
        <f>I91+I130+I168+I206+I243+I280+I317+I348+I378+I409+I439+I469+I499+I528</f>
        <v>4533.33830424395</v>
      </c>
      <c r="J559" s="269">
        <f t="shared" ref="J559:J564" si="169">G559+I559</f>
        <v>12324.524601205121</v>
      </c>
    </row>
    <row r="560" spans="1:10" x14ac:dyDescent="0.2">
      <c r="F560" s="123" t="s">
        <v>36</v>
      </c>
      <c r="G560" s="269">
        <f t="shared" ref="G560:G578" si="170">G93+G132+G170+G208+G245+G282+G319+G350+G380+G411+G441+G471+G501+G530</f>
        <v>8068.126026759488</v>
      </c>
      <c r="H560" s="269">
        <f t="shared" ref="H560:H578" si="171">450120.51/20</f>
        <v>22506.0255</v>
      </c>
      <c r="I560" s="269">
        <f t="shared" ref="I560:I565" si="172">I93+I132+I170+I208+I245+I282+I319+I350+I380+I411+I441+I471+I501+I530</f>
        <v>4533.33830424395</v>
      </c>
      <c r="J560" s="269">
        <f t="shared" si="169"/>
        <v>12601.464331003437</v>
      </c>
    </row>
    <row r="561" spans="6:10" x14ac:dyDescent="0.2">
      <c r="F561" s="109" t="s">
        <v>76</v>
      </c>
      <c r="G561" s="269">
        <f t="shared" si="170"/>
        <v>8138.4349901803871</v>
      </c>
      <c r="H561" s="269">
        <f t="shared" si="171"/>
        <v>22506.0255</v>
      </c>
      <c r="I561" s="269">
        <f t="shared" si="172"/>
        <v>4533.33830424395</v>
      </c>
      <c r="J561" s="269">
        <f t="shared" si="169"/>
        <v>12671.773294424336</v>
      </c>
    </row>
    <row r="562" spans="6:10" x14ac:dyDescent="0.2">
      <c r="F562" s="109" t="s">
        <v>77</v>
      </c>
      <c r="G562" s="269">
        <f t="shared" si="170"/>
        <v>8368.8121002550142</v>
      </c>
      <c r="H562" s="269">
        <f t="shared" si="171"/>
        <v>22506.0255</v>
      </c>
      <c r="I562" s="269">
        <f t="shared" si="172"/>
        <v>4533.33830424395</v>
      </c>
      <c r="J562" s="269">
        <f t="shared" si="169"/>
        <v>12902.150404498963</v>
      </c>
    </row>
    <row r="563" spans="6:10" x14ac:dyDescent="0.2">
      <c r="F563" s="109" t="s">
        <v>78</v>
      </c>
      <c r="G563" s="269">
        <f t="shared" si="170"/>
        <v>8444.2418870520778</v>
      </c>
      <c r="H563" s="269">
        <f t="shared" si="171"/>
        <v>22506.0255</v>
      </c>
      <c r="I563" s="269">
        <f t="shared" si="172"/>
        <v>4533.33830424395</v>
      </c>
      <c r="J563" s="269">
        <f t="shared" si="169"/>
        <v>12977.580191296027</v>
      </c>
    </row>
    <row r="564" spans="6:10" x14ac:dyDescent="0.2">
      <c r="F564" s="123" t="s">
        <v>79</v>
      </c>
      <c r="G564" s="269">
        <f t="shared" si="170"/>
        <v>8357.6166194129291</v>
      </c>
      <c r="H564" s="269">
        <f t="shared" si="171"/>
        <v>22506.0255</v>
      </c>
      <c r="I564" s="269">
        <f t="shared" si="172"/>
        <v>4533.33830424395</v>
      </c>
      <c r="J564" s="269">
        <f t="shared" si="169"/>
        <v>12890.954923656878</v>
      </c>
    </row>
    <row r="565" spans="6:10" x14ac:dyDescent="0.2">
      <c r="F565" s="109" t="s">
        <v>80</v>
      </c>
      <c r="G565" s="269">
        <f t="shared" si="170"/>
        <v>7706.9955042987804</v>
      </c>
      <c r="H565" s="269">
        <f t="shared" si="171"/>
        <v>22506.0255</v>
      </c>
      <c r="I565" s="269">
        <f t="shared" si="172"/>
        <v>4533.33830424395</v>
      </c>
      <c r="J565" s="269">
        <f>G565+I565</f>
        <v>12240.333808542731</v>
      </c>
    </row>
    <row r="566" spans="6:10" x14ac:dyDescent="0.2">
      <c r="F566" s="109" t="s">
        <v>81</v>
      </c>
      <c r="G566" s="269">
        <f t="shared" si="170"/>
        <v>7237.5370216049632</v>
      </c>
      <c r="H566" s="269">
        <f t="shared" si="171"/>
        <v>22506.0255</v>
      </c>
      <c r="I566" s="269">
        <f t="shared" ref="I566:I578" si="173">I99+I138+I176+I214+I251+I288+I325+I356+I386+I417+I447+I477+I507+I536</f>
        <v>4533.33830424395</v>
      </c>
      <c r="J566" s="269">
        <f t="shared" ref="J566:J578" si="174">G566+I566</f>
        <v>11770.875325848912</v>
      </c>
    </row>
    <row r="567" spans="6:10" x14ac:dyDescent="0.2">
      <c r="F567" s="109" t="s">
        <v>82</v>
      </c>
      <c r="G567" s="269">
        <f t="shared" si="170"/>
        <v>6755.8787198765294</v>
      </c>
      <c r="H567" s="269">
        <f t="shared" si="171"/>
        <v>22506.0255</v>
      </c>
      <c r="I567" s="269">
        <f t="shared" si="173"/>
        <v>4533.33830424395</v>
      </c>
      <c r="J567" s="269">
        <f t="shared" si="174"/>
        <v>11289.21702412048</v>
      </c>
    </row>
    <row r="568" spans="6:10" x14ac:dyDescent="0.2">
      <c r="F568" s="123" t="s">
        <v>83</v>
      </c>
      <c r="G568" s="269">
        <f t="shared" si="170"/>
        <v>6194.6870442843028</v>
      </c>
      <c r="H568" s="269">
        <f t="shared" si="171"/>
        <v>22506.0255</v>
      </c>
      <c r="I568" s="269">
        <f t="shared" si="173"/>
        <v>4533.33830424395</v>
      </c>
      <c r="J568" s="269">
        <f t="shared" si="174"/>
        <v>10728.025348528252</v>
      </c>
    </row>
    <row r="569" spans="6:10" x14ac:dyDescent="0.2">
      <c r="F569" s="123" t="s">
        <v>105</v>
      </c>
      <c r="G569" s="269">
        <f t="shared" si="170"/>
        <v>5226.9826478894174</v>
      </c>
      <c r="H569" s="269">
        <f t="shared" si="171"/>
        <v>22506.0255</v>
      </c>
      <c r="I569" s="269">
        <f t="shared" si="173"/>
        <v>4533.33830424395</v>
      </c>
      <c r="J569" s="269">
        <f t="shared" si="174"/>
        <v>9760.3209521333665</v>
      </c>
    </row>
    <row r="570" spans="6:10" x14ac:dyDescent="0.2">
      <c r="F570" s="123" t="s">
        <v>106</v>
      </c>
      <c r="G570" s="269">
        <f t="shared" si="170"/>
        <v>4105.8711121043962</v>
      </c>
      <c r="H570" s="269">
        <f t="shared" si="171"/>
        <v>22506.0255</v>
      </c>
      <c r="I570" s="269">
        <f t="shared" si="173"/>
        <v>4533.33830424395</v>
      </c>
      <c r="J570" s="269">
        <f t="shared" si="174"/>
        <v>8639.2094163483453</v>
      </c>
    </row>
    <row r="571" spans="6:10" x14ac:dyDescent="0.2">
      <c r="F571" s="123" t="s">
        <v>107</v>
      </c>
      <c r="G571" s="269">
        <f t="shared" si="170"/>
        <v>2890.1295571679075</v>
      </c>
      <c r="H571" s="269">
        <f t="shared" si="171"/>
        <v>22506.0255</v>
      </c>
      <c r="I571" s="269">
        <f t="shared" si="173"/>
        <v>4533.33830424395</v>
      </c>
      <c r="J571" s="269">
        <f t="shared" si="174"/>
        <v>7423.4678614118575</v>
      </c>
    </row>
    <row r="572" spans="6:10" x14ac:dyDescent="0.2">
      <c r="F572" s="123" t="s">
        <v>100</v>
      </c>
      <c r="G572" s="269">
        <f t="shared" si="170"/>
        <v>2387.3504302022193</v>
      </c>
      <c r="H572" s="269">
        <f t="shared" si="171"/>
        <v>22506.0255</v>
      </c>
      <c r="I572" s="269">
        <f t="shared" si="173"/>
        <v>4533.33830424395</v>
      </c>
      <c r="J572" s="269">
        <f t="shared" si="174"/>
        <v>6920.6887344461693</v>
      </c>
    </row>
    <row r="573" spans="6:10" x14ac:dyDescent="0.2">
      <c r="F573" s="123" t="s">
        <v>108</v>
      </c>
      <c r="G573" s="269">
        <f t="shared" si="170"/>
        <v>1816.2514116736052</v>
      </c>
      <c r="H573" s="269">
        <f t="shared" si="171"/>
        <v>22506.0255</v>
      </c>
      <c r="I573" s="269">
        <f t="shared" si="173"/>
        <v>4533.33830424395</v>
      </c>
      <c r="J573" s="269">
        <f t="shared" si="174"/>
        <v>6349.5897159175547</v>
      </c>
    </row>
    <row r="574" spans="6:10" x14ac:dyDescent="0.2">
      <c r="F574" s="123" t="s">
        <v>109</v>
      </c>
      <c r="G574" s="269">
        <f t="shared" si="170"/>
        <v>1142.4516059913819</v>
      </c>
      <c r="H574" s="269">
        <f t="shared" si="171"/>
        <v>22506.0255</v>
      </c>
      <c r="I574" s="269">
        <f t="shared" si="173"/>
        <v>4533.33830424395</v>
      </c>
      <c r="J574" s="269">
        <f t="shared" si="174"/>
        <v>5675.7899102353322</v>
      </c>
    </row>
    <row r="575" spans="6:10" x14ac:dyDescent="0.2">
      <c r="F575" s="123" t="s">
        <v>111</v>
      </c>
      <c r="G575" s="269">
        <f t="shared" si="170"/>
        <v>892.80269990313241</v>
      </c>
      <c r="H575" s="269">
        <f t="shared" si="171"/>
        <v>22506.0255</v>
      </c>
      <c r="I575" s="269">
        <f t="shared" si="173"/>
        <v>4533.33830424395</v>
      </c>
      <c r="J575" s="269">
        <f t="shared" si="174"/>
        <v>5426.1410041470826</v>
      </c>
    </row>
    <row r="576" spans="6:10" x14ac:dyDescent="0.2">
      <c r="F576" s="123" t="s">
        <v>101</v>
      </c>
      <c r="G576" s="269">
        <f t="shared" si="170"/>
        <v>671.72719133649832</v>
      </c>
      <c r="H576" s="269">
        <f t="shared" si="171"/>
        <v>22506.0255</v>
      </c>
      <c r="I576" s="269">
        <f t="shared" si="173"/>
        <v>4533.33830424395</v>
      </c>
      <c r="J576" s="269">
        <f t="shared" si="174"/>
        <v>5205.0654955804484</v>
      </c>
    </row>
    <row r="577" spans="6:10" x14ac:dyDescent="0.2">
      <c r="F577" s="123" t="s">
        <v>112</v>
      </c>
      <c r="G577" s="269">
        <f t="shared" si="170"/>
        <v>440.8549070574752</v>
      </c>
      <c r="H577" s="269">
        <f t="shared" si="171"/>
        <v>22506.0255</v>
      </c>
      <c r="I577" s="269">
        <f t="shared" si="173"/>
        <v>4533.33830424395</v>
      </c>
      <c r="J577" s="269">
        <f t="shared" si="174"/>
        <v>4974.1932113014254</v>
      </c>
    </row>
    <row r="578" spans="6:10" x14ac:dyDescent="0.2">
      <c r="F578" s="123" t="s">
        <v>113</v>
      </c>
      <c r="G578" s="269">
        <f t="shared" si="170"/>
        <v>227.08078100536807</v>
      </c>
      <c r="H578" s="269">
        <f t="shared" si="171"/>
        <v>22506.0255</v>
      </c>
      <c r="I578" s="269">
        <f t="shared" si="173"/>
        <v>4533.33830424395</v>
      </c>
      <c r="J578" s="269">
        <f t="shared" si="174"/>
        <v>4760.4190852493184</v>
      </c>
    </row>
    <row r="579" spans="6:10" x14ac:dyDescent="0.2">
      <c r="F579" s="124" t="s">
        <v>114</v>
      </c>
      <c r="G579" s="269">
        <v>0</v>
      </c>
      <c r="H579" s="269">
        <v>0</v>
      </c>
      <c r="I579" s="269">
        <v>0</v>
      </c>
      <c r="J579" s="269">
        <v>0</v>
      </c>
    </row>
    <row r="580" spans="6:10" x14ac:dyDescent="0.2">
      <c r="G580" s="55"/>
      <c r="I580" s="55"/>
      <c r="J580" s="55"/>
    </row>
    <row r="581" spans="6:10" x14ac:dyDescent="0.2">
      <c r="I581" s="55"/>
    </row>
    <row r="582" spans="6:10" x14ac:dyDescent="0.2">
      <c r="G582" s="55"/>
      <c r="I582" s="55"/>
      <c r="J582" s="55"/>
    </row>
    <row r="583" spans="6:10" x14ac:dyDescent="0.2">
      <c r="G583" s="55"/>
      <c r="I583" s="55"/>
      <c r="J583" s="55"/>
    </row>
    <row r="584" spans="6:10" x14ac:dyDescent="0.2">
      <c r="G584" s="55"/>
      <c r="I584" s="55"/>
      <c r="J584" s="55"/>
    </row>
    <row r="585" spans="6:10" x14ac:dyDescent="0.2">
      <c r="G585" s="55"/>
      <c r="I585" s="55"/>
      <c r="J585" s="55"/>
    </row>
    <row r="586" spans="6:10" x14ac:dyDescent="0.2">
      <c r="G586" s="55"/>
      <c r="I586" s="55"/>
      <c r="J586" s="55"/>
    </row>
  </sheetData>
  <customSheetViews>
    <customSheetView guid="{6086CA2F-D319-4FB4-8773-987A9787386E}" scale="75" hiddenRows="1" showRuler="0" topLeftCell="A31">
      <selection sqref="A1:IV65536"/>
      <rowBreaks count="15" manualBreakCount="15">
        <brk id="47" max="16383" man="1"/>
        <brk id="73" max="16383" man="1"/>
        <brk id="112" max="16383" man="1"/>
        <brk id="152" max="16383" man="1"/>
        <brk id="190" max="16383" man="1"/>
        <brk id="228" max="16383" man="1"/>
        <brk id="265" max="16383" man="1"/>
        <brk id="302" max="16383" man="1"/>
        <brk id="338" max="16383" man="1"/>
        <brk id="368" max="16383" man="1"/>
        <brk id="399" max="16383" man="1"/>
        <brk id="430" max="16383" man="1"/>
        <brk id="460" max="16383" man="1"/>
        <brk id="490" max="16383" man="1"/>
        <brk id="520" max="16383" man="1"/>
      </rowBreaks>
      <pageMargins left="0.75" right="0.75" top="1" bottom="1" header="0.5" footer="0.5"/>
      <pageSetup scale="78" orientation="landscape" r:id="rId1"/>
      <headerFooter alignWithMargins="0">
        <oddFooter>&amp;L&amp;D&amp;R&amp;A</oddFooter>
      </headerFooter>
    </customSheetView>
  </customSheetViews>
  <mergeCells count="33">
    <mergeCell ref="E349:F349"/>
    <mergeCell ref="A266:J266"/>
    <mergeCell ref="A303:J303"/>
    <mergeCell ref="A340:J340"/>
    <mergeCell ref="E244:F244"/>
    <mergeCell ref="E281:F281"/>
    <mergeCell ref="E318:F318"/>
    <mergeCell ref="A39:J39"/>
    <mergeCell ref="A37:B37"/>
    <mergeCell ref="A75:J75"/>
    <mergeCell ref="C2:F2"/>
    <mergeCell ref="A48:J48"/>
    <mergeCell ref="E53:F53"/>
    <mergeCell ref="A492:J492"/>
    <mergeCell ref="E92:F92"/>
    <mergeCell ref="E131:F131"/>
    <mergeCell ref="E169:F169"/>
    <mergeCell ref="E207:F207"/>
    <mergeCell ref="A114:J114"/>
    <mergeCell ref="A153:J153"/>
    <mergeCell ref="A401:J401"/>
    <mergeCell ref="A191:J191"/>
    <mergeCell ref="A229:J229"/>
    <mergeCell ref="A522:J522"/>
    <mergeCell ref="E379:F379"/>
    <mergeCell ref="A370:J370"/>
    <mergeCell ref="E529:F529"/>
    <mergeCell ref="E410:F410"/>
    <mergeCell ref="E440:F440"/>
    <mergeCell ref="E470:F470"/>
    <mergeCell ref="E500:F500"/>
    <mergeCell ref="A432:J432"/>
    <mergeCell ref="A462:J462"/>
  </mergeCells>
  <phoneticPr fontId="2" type="noConversion"/>
  <pageMargins left="0.5" right="0.5" top="1" bottom="0.89" header="0.5" footer="0.5"/>
  <pageSetup scale="61" orientation="landscape" r:id="rId2"/>
  <headerFooter alignWithMargins="0">
    <oddHeader>&amp;C&amp;A&amp;RAttachment 4
WP-Schedule 22 
&amp;P of &amp;N</oddHeader>
  </headerFooter>
  <rowBreaks count="16" manualBreakCount="16">
    <brk id="47" max="16383" man="1"/>
    <brk id="73" max="16383" man="1"/>
    <brk id="112" max="16383" man="1"/>
    <brk id="152" max="16383" man="1"/>
    <brk id="190" max="16383" man="1"/>
    <brk id="228" max="16383" man="1"/>
    <brk id="265" max="16383" man="1"/>
    <brk id="302" max="16383" man="1"/>
    <brk id="338" max="16383" man="1"/>
    <brk id="368" max="16383" man="1"/>
    <brk id="399" max="16383" man="1"/>
    <brk id="430" max="16383" man="1"/>
    <brk id="460" max="16383" man="1"/>
    <brk id="490" max="16383" man="1"/>
    <brk id="520" max="16383" man="1"/>
    <brk id="554" max="16383" man="1"/>
  </rowBreaks>
  <ignoredErrors>
    <ignoredError sqref="G92 H559:H57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 enableFormatConditionsCalculation="0">
    <tabColor theme="0" tint="-4.9989318521683403E-2"/>
  </sheetPr>
  <dimension ref="A2:J80"/>
  <sheetViews>
    <sheetView view="pageLayout" zoomScaleNormal="85" workbookViewId="0">
      <selection activeCell="F47" sqref="F47"/>
    </sheetView>
  </sheetViews>
  <sheetFormatPr defaultRowHeight="12.75" x14ac:dyDescent="0.2"/>
  <cols>
    <col min="1" max="1" width="12.140625" style="22" customWidth="1"/>
    <col min="2" max="6" width="17.28515625" style="22" customWidth="1"/>
    <col min="7" max="7" width="15.42578125" style="22" customWidth="1"/>
    <col min="8" max="8" width="13.140625" style="22" customWidth="1"/>
    <col min="9" max="9" width="12.5703125" style="22" customWidth="1"/>
    <col min="10" max="10" width="14.28515625" style="22" customWidth="1"/>
    <col min="11" max="11" width="16.5703125" style="22" customWidth="1"/>
    <col min="12" max="16384" width="9.140625" style="22"/>
  </cols>
  <sheetData>
    <row r="2" spans="1:10" ht="14.25" x14ac:dyDescent="0.2">
      <c r="A2" s="57" t="s">
        <v>120</v>
      </c>
      <c r="B2" s="58"/>
      <c r="C2" s="392" t="s">
        <v>6</v>
      </c>
      <c r="D2" s="392"/>
      <c r="E2" s="392"/>
      <c r="F2" s="392"/>
    </row>
    <row r="3" spans="1:10" ht="25.5" x14ac:dyDescent="0.2">
      <c r="B3" s="20" t="s">
        <v>8</v>
      </c>
      <c r="C3" s="27" t="s">
        <v>7</v>
      </c>
      <c r="D3" s="27" t="s">
        <v>1</v>
      </c>
      <c r="E3" s="27" t="s">
        <v>121</v>
      </c>
      <c r="F3" s="27" t="s">
        <v>0</v>
      </c>
    </row>
    <row r="4" spans="1:10" x14ac:dyDescent="0.2">
      <c r="A4" s="23">
        <v>1</v>
      </c>
      <c r="B4" s="49">
        <v>37460</v>
      </c>
      <c r="C4" s="97">
        <v>14780.31</v>
      </c>
      <c r="D4" s="97">
        <v>3990.68</v>
      </c>
      <c r="E4" s="98">
        <v>7127.53</v>
      </c>
      <c r="F4" s="97">
        <f>C4+D4+E4</f>
        <v>25898.519999999997</v>
      </c>
    </row>
    <row r="5" spans="1:10" x14ac:dyDescent="0.2">
      <c r="A5" s="23">
        <v>2</v>
      </c>
      <c r="B5" s="49">
        <v>37460</v>
      </c>
      <c r="C5" s="97">
        <v>74123.199999999997</v>
      </c>
      <c r="D5" s="97">
        <v>20013.27</v>
      </c>
      <c r="E5" s="98">
        <v>0</v>
      </c>
      <c r="F5" s="97">
        <f>C5+D5</f>
        <v>94136.47</v>
      </c>
    </row>
    <row r="6" spans="1:10" x14ac:dyDescent="0.2">
      <c r="A6" s="23">
        <v>3</v>
      </c>
      <c r="B6" s="49">
        <v>37468</v>
      </c>
      <c r="C6" s="97">
        <v>23920.639999999999</v>
      </c>
      <c r="D6" s="97">
        <v>6458.57</v>
      </c>
      <c r="E6" s="98">
        <v>0</v>
      </c>
      <c r="F6" s="97">
        <f>SUM(C6:D6)</f>
        <v>30379.21</v>
      </c>
    </row>
    <row r="7" spans="1:10" x14ac:dyDescent="0.2">
      <c r="B7" s="27" t="s">
        <v>0</v>
      </c>
      <c r="C7" s="76">
        <f>SUM(C4:C6)</f>
        <v>112824.15</v>
      </c>
      <c r="D7" s="76">
        <f>SUM(D4:D6)</f>
        <v>30462.52</v>
      </c>
      <c r="E7" s="76">
        <f>SUM(E4:E6)</f>
        <v>7127.53</v>
      </c>
      <c r="F7" s="76">
        <f>SUM(F4:F6)</f>
        <v>150414.19999999998</v>
      </c>
    </row>
    <row r="9" spans="1:10" x14ac:dyDescent="0.2">
      <c r="A9" s="397" t="s">
        <v>9</v>
      </c>
      <c r="B9" s="397"/>
      <c r="C9" s="83">
        <v>38124</v>
      </c>
    </row>
    <row r="10" spans="1:10" x14ac:dyDescent="0.2">
      <c r="A10" s="82"/>
      <c r="B10" s="82"/>
      <c r="C10" s="83"/>
    </row>
    <row r="11" spans="1:10" x14ac:dyDescent="0.2">
      <c r="A11" s="22" t="s">
        <v>5</v>
      </c>
    </row>
    <row r="12" spans="1:10" x14ac:dyDescent="0.2">
      <c r="A12" s="387" t="s">
        <v>58</v>
      </c>
      <c r="B12" s="388"/>
      <c r="C12" s="388"/>
      <c r="D12" s="388"/>
      <c r="E12" s="388"/>
      <c r="F12" s="388"/>
      <c r="G12" s="388"/>
      <c r="H12" s="388"/>
      <c r="I12" s="388"/>
      <c r="J12" s="389"/>
    </row>
    <row r="13" spans="1:10" x14ac:dyDescent="0.2">
      <c r="A13" s="30" t="s">
        <v>10</v>
      </c>
      <c r="B13" s="30" t="s">
        <v>11</v>
      </c>
      <c r="C13" s="30" t="s">
        <v>12</v>
      </c>
      <c r="D13" s="30" t="s">
        <v>13</v>
      </c>
      <c r="E13" s="30" t="s">
        <v>14</v>
      </c>
      <c r="F13" s="30" t="s">
        <v>15</v>
      </c>
      <c r="G13" s="30" t="s">
        <v>16</v>
      </c>
      <c r="H13" s="30"/>
      <c r="I13" s="30"/>
      <c r="J13" s="30" t="s">
        <v>17</v>
      </c>
    </row>
    <row r="14" spans="1:10" ht="51" x14ac:dyDescent="0.2">
      <c r="A14" s="31" t="s">
        <v>18</v>
      </c>
      <c r="B14" s="31" t="s">
        <v>19</v>
      </c>
      <c r="C14" s="31" t="s">
        <v>20</v>
      </c>
      <c r="D14" s="31" t="s">
        <v>21</v>
      </c>
      <c r="E14" s="31" t="s">
        <v>22</v>
      </c>
      <c r="F14" s="31" t="s">
        <v>23</v>
      </c>
      <c r="G14" s="6" t="s">
        <v>130</v>
      </c>
      <c r="H14" s="6" t="s">
        <v>37</v>
      </c>
      <c r="I14" s="6" t="s">
        <v>131</v>
      </c>
      <c r="J14" s="31" t="s">
        <v>25</v>
      </c>
    </row>
    <row r="15" spans="1:10" x14ac:dyDescent="0.2">
      <c r="A15" s="102" t="s">
        <v>44</v>
      </c>
      <c r="B15" s="103">
        <f>C9</f>
        <v>38124</v>
      </c>
      <c r="C15" s="103">
        <v>38168</v>
      </c>
      <c r="D15" s="104">
        <f t="shared" ref="D15:D20" si="0">+C15-B15+1</f>
        <v>45</v>
      </c>
      <c r="E15" s="105">
        <v>4</v>
      </c>
      <c r="F15" s="106">
        <f>C7</f>
        <v>112824.15</v>
      </c>
      <c r="G15" s="107">
        <f>+D15/366*E15/100*F15</f>
        <v>554.87286885245896</v>
      </c>
      <c r="H15" s="107"/>
      <c r="I15" s="108"/>
      <c r="J15" s="136">
        <f t="shared" ref="J15:J20" si="1">+F15+G15</f>
        <v>113379.02286885245</v>
      </c>
    </row>
    <row r="16" spans="1:10" x14ac:dyDescent="0.2">
      <c r="A16" s="109" t="s">
        <v>31</v>
      </c>
      <c r="B16" s="110">
        <v>38169</v>
      </c>
      <c r="C16" s="110">
        <v>38260</v>
      </c>
      <c r="D16" s="111">
        <f t="shared" si="0"/>
        <v>92</v>
      </c>
      <c r="E16" s="112">
        <v>4</v>
      </c>
      <c r="F16" s="113">
        <f>+J15</f>
        <v>113379.02286885245</v>
      </c>
      <c r="G16" s="114">
        <f>+D16/366*E16/100*F16</f>
        <v>1139.9858037086804</v>
      </c>
      <c r="H16" s="114"/>
      <c r="I16" s="115"/>
      <c r="J16" s="129">
        <f t="shared" si="1"/>
        <v>114519.00867256113</v>
      </c>
    </row>
    <row r="17" spans="1:10" x14ac:dyDescent="0.2">
      <c r="A17" s="109" t="s">
        <v>45</v>
      </c>
      <c r="B17" s="110">
        <v>38261</v>
      </c>
      <c r="C17" s="110">
        <v>38352</v>
      </c>
      <c r="D17" s="111">
        <f t="shared" si="0"/>
        <v>92</v>
      </c>
      <c r="E17" s="112">
        <v>4.22</v>
      </c>
      <c r="F17" s="113">
        <f>+J16</f>
        <v>114519.00867256113</v>
      </c>
      <c r="G17" s="114">
        <f>+D17/366*E17/100*F17</f>
        <v>1214.7775936348398</v>
      </c>
      <c r="H17" s="114"/>
      <c r="I17" s="115"/>
      <c r="J17" s="129">
        <f t="shared" si="1"/>
        <v>115733.78626619597</v>
      </c>
    </row>
    <row r="18" spans="1:10" x14ac:dyDescent="0.2">
      <c r="A18" s="109" t="s">
        <v>43</v>
      </c>
      <c r="B18" s="110">
        <f>C17+1</f>
        <v>38353</v>
      </c>
      <c r="C18" s="110">
        <v>38442</v>
      </c>
      <c r="D18" s="111">
        <f t="shared" si="0"/>
        <v>90</v>
      </c>
      <c r="E18" s="112">
        <v>4.75</v>
      </c>
      <c r="F18" s="113">
        <f>+J17</f>
        <v>115733.78626619597</v>
      </c>
      <c r="G18" s="114">
        <f>+D18/365*E18/100*F18</f>
        <v>1355.5121542136651</v>
      </c>
      <c r="H18" s="114"/>
      <c r="I18" s="115"/>
      <c r="J18" s="129">
        <f t="shared" si="1"/>
        <v>117089.29842040963</v>
      </c>
    </row>
    <row r="19" spans="1:10" x14ac:dyDescent="0.2">
      <c r="A19" s="109" t="s">
        <v>40</v>
      </c>
      <c r="B19" s="110">
        <f>C18+1</f>
        <v>38443</v>
      </c>
      <c r="C19" s="110">
        <v>38533</v>
      </c>
      <c r="D19" s="111">
        <f t="shared" si="0"/>
        <v>91</v>
      </c>
      <c r="E19" s="112">
        <v>5.3</v>
      </c>
      <c r="F19" s="113">
        <f>+J18</f>
        <v>117089.29842040963</v>
      </c>
      <c r="G19" s="114">
        <f>+D19/365*E19/100*F19</f>
        <v>1547.1827021414674</v>
      </c>
      <c r="H19" s="114"/>
      <c r="I19" s="115"/>
      <c r="J19" s="129">
        <f t="shared" si="1"/>
        <v>118636.48112255109</v>
      </c>
    </row>
    <row r="20" spans="1:10" x14ac:dyDescent="0.2">
      <c r="A20" s="109" t="s">
        <v>42</v>
      </c>
      <c r="B20" s="110">
        <f>C19+1</f>
        <v>38534</v>
      </c>
      <c r="C20" s="110">
        <v>38625</v>
      </c>
      <c r="D20" s="111">
        <f t="shared" si="0"/>
        <v>92</v>
      </c>
      <c r="E20" s="112">
        <v>5.77</v>
      </c>
      <c r="F20" s="113">
        <f>+J19</f>
        <v>118636.48112255109</v>
      </c>
      <c r="G20" s="114">
        <f>+D20/365*E20/100*F20</f>
        <v>1725.3969764135622</v>
      </c>
      <c r="H20" s="114">
        <f>F$15/20</f>
        <v>5641.2074999999995</v>
      </c>
      <c r="I20" s="115">
        <f>G$21/20</f>
        <v>376.88640494823369</v>
      </c>
      <c r="J20" s="129">
        <f t="shared" si="1"/>
        <v>120361.87809896466</v>
      </c>
    </row>
    <row r="21" spans="1:10" x14ac:dyDescent="0.2">
      <c r="A21" s="117"/>
      <c r="B21" s="118"/>
      <c r="C21" s="118"/>
      <c r="D21" s="130"/>
      <c r="E21" s="393" t="s">
        <v>132</v>
      </c>
      <c r="F21" s="394"/>
      <c r="G21" s="120">
        <f>SUM(G15:G20)</f>
        <v>7537.7280989646733</v>
      </c>
      <c r="H21" s="120"/>
      <c r="I21" s="121"/>
      <c r="J21" s="135"/>
    </row>
    <row r="22" spans="1:10" x14ac:dyDescent="0.2">
      <c r="A22" s="123" t="s">
        <v>36</v>
      </c>
      <c r="B22" s="110">
        <v>38626</v>
      </c>
      <c r="C22" s="110">
        <v>38717</v>
      </c>
      <c r="D22" s="111">
        <f>+C22-B22+1</f>
        <v>92</v>
      </c>
      <c r="E22" s="122">
        <v>6.23</v>
      </c>
      <c r="F22" s="131">
        <f>F$15+G$21-SUM(H$20:H21)-SUM(I$20:I21)</f>
        <v>114343.78419401642</v>
      </c>
      <c r="G22" s="114">
        <f>+D22/365*E22/100*F22</f>
        <v>1795.5420095518482</v>
      </c>
      <c r="H22" s="114">
        <f t="shared" ref="H22:H30" si="2">F$15/20</f>
        <v>5641.2074999999995</v>
      </c>
      <c r="I22" s="116">
        <f t="shared" ref="I22:I30" si="3">G$21/20</f>
        <v>376.88640494823369</v>
      </c>
      <c r="J22" s="134"/>
    </row>
    <row r="23" spans="1:10" x14ac:dyDescent="0.2">
      <c r="A23" s="109" t="s">
        <v>76</v>
      </c>
      <c r="B23" s="110">
        <f>C22+1</f>
        <v>38718</v>
      </c>
      <c r="C23" s="110">
        <v>38807</v>
      </c>
      <c r="D23" s="111">
        <f t="shared" ref="D23:D30" si="4">+C23-B23+1</f>
        <v>90</v>
      </c>
      <c r="E23" s="112">
        <v>6.78</v>
      </c>
      <c r="F23" s="131">
        <f>F$15+G$21-SUM(H$20:H22)-SUM(I$20:I22)</f>
        <v>108325.6902890682</v>
      </c>
      <c r="G23" s="114">
        <f t="shared" ref="G23:G30" si="5">+D23/365*E23/100*F23</f>
        <v>1810.9681154627233</v>
      </c>
      <c r="H23" s="114">
        <f t="shared" si="2"/>
        <v>5641.2074999999995</v>
      </c>
      <c r="I23" s="116">
        <f t="shared" si="3"/>
        <v>376.88640494823369</v>
      </c>
      <c r="J23" s="137"/>
    </row>
    <row r="24" spans="1:10" x14ac:dyDescent="0.2">
      <c r="A24" s="109" t="s">
        <v>77</v>
      </c>
      <c r="B24" s="110">
        <f t="shared" ref="B24:B41" si="6">C23+1</f>
        <v>38808</v>
      </c>
      <c r="C24" s="110">
        <v>38898</v>
      </c>
      <c r="D24" s="111">
        <f t="shared" si="4"/>
        <v>91</v>
      </c>
      <c r="E24" s="112">
        <v>7.3</v>
      </c>
      <c r="F24" s="131">
        <f>F$15+G$21-SUM(H$20:H23)-SUM(I$20:I23)</f>
        <v>102307.59638411997</v>
      </c>
      <c r="G24" s="114">
        <f t="shared" si="5"/>
        <v>1861.9982541909835</v>
      </c>
      <c r="H24" s="114">
        <f t="shared" si="2"/>
        <v>5641.2074999999995</v>
      </c>
      <c r="I24" s="116">
        <f t="shared" si="3"/>
        <v>376.88640494823369</v>
      </c>
      <c r="J24" s="137"/>
    </row>
    <row r="25" spans="1:10" x14ac:dyDescent="0.2">
      <c r="A25" s="109" t="s">
        <v>78</v>
      </c>
      <c r="B25" s="110">
        <f t="shared" si="6"/>
        <v>38899</v>
      </c>
      <c r="C25" s="110">
        <v>38990</v>
      </c>
      <c r="D25" s="111">
        <f t="shared" si="4"/>
        <v>92</v>
      </c>
      <c r="E25" s="111">
        <v>7.74</v>
      </c>
      <c r="F25" s="131">
        <f>F$15+G$21-SUM(H$20:H24)-SUM(I$20:I24)</f>
        <v>96289.50247917173</v>
      </c>
      <c r="G25" s="114">
        <f t="shared" si="5"/>
        <v>1878.5158609690034</v>
      </c>
      <c r="H25" s="114">
        <f t="shared" si="2"/>
        <v>5641.2074999999995</v>
      </c>
      <c r="I25" s="116">
        <f t="shared" si="3"/>
        <v>376.88640494823369</v>
      </c>
      <c r="J25" s="137"/>
    </row>
    <row r="26" spans="1:10" x14ac:dyDescent="0.2">
      <c r="A26" s="109" t="s">
        <v>79</v>
      </c>
      <c r="B26" s="110">
        <f t="shared" si="6"/>
        <v>38991</v>
      </c>
      <c r="C26" s="110">
        <v>39082</v>
      </c>
      <c r="D26" s="111">
        <f t="shared" si="4"/>
        <v>92</v>
      </c>
      <c r="E26" s="111">
        <v>8.17</v>
      </c>
      <c r="F26" s="131">
        <f>F$15+G$21-SUM(H$20:H25)-SUM(I$20:I25)</f>
        <v>90271.408574223489</v>
      </c>
      <c r="G26" s="114">
        <f t="shared" si="5"/>
        <v>1858.9479874172423</v>
      </c>
      <c r="H26" s="114">
        <f t="shared" si="2"/>
        <v>5641.2074999999995</v>
      </c>
      <c r="I26" s="116">
        <f t="shared" si="3"/>
        <v>376.88640494823369</v>
      </c>
      <c r="J26" s="137"/>
    </row>
    <row r="27" spans="1:10" x14ac:dyDescent="0.2">
      <c r="A27" s="109" t="s">
        <v>80</v>
      </c>
      <c r="B27" s="110">
        <f t="shared" si="6"/>
        <v>39083</v>
      </c>
      <c r="C27" s="110">
        <v>39172</v>
      </c>
      <c r="D27" s="111">
        <f t="shared" si="4"/>
        <v>90</v>
      </c>
      <c r="E27" s="111">
        <v>8.25</v>
      </c>
      <c r="F27" s="131">
        <f>F$15+G$21-SUM(H$20:H26)-SUM(I$20:I26)</f>
        <v>84253.314669275263</v>
      </c>
      <c r="G27" s="114">
        <f t="shared" si="5"/>
        <v>1713.9201682722432</v>
      </c>
      <c r="H27" s="114">
        <f t="shared" si="2"/>
        <v>5641.2074999999995</v>
      </c>
      <c r="I27" s="116">
        <f t="shared" si="3"/>
        <v>376.88640494823369</v>
      </c>
      <c r="J27" s="137"/>
    </row>
    <row r="28" spans="1:10" x14ac:dyDescent="0.2">
      <c r="A28" s="109" t="s">
        <v>81</v>
      </c>
      <c r="B28" s="110">
        <f t="shared" si="6"/>
        <v>39173</v>
      </c>
      <c r="C28" s="110">
        <v>39263</v>
      </c>
      <c r="D28" s="111">
        <f t="shared" si="4"/>
        <v>91</v>
      </c>
      <c r="E28" s="111">
        <v>8.25</v>
      </c>
      <c r="F28" s="131">
        <f>F$15+G$21-SUM(H$20:H27)-SUM(I$20:I27)</f>
        <v>78235.220764327038</v>
      </c>
      <c r="G28" s="114">
        <f t="shared" si="5"/>
        <v>1609.1806024333844</v>
      </c>
      <c r="H28" s="114">
        <f t="shared" si="2"/>
        <v>5641.2074999999995</v>
      </c>
      <c r="I28" s="116">
        <f t="shared" si="3"/>
        <v>376.88640494823369</v>
      </c>
      <c r="J28" s="137"/>
    </row>
    <row r="29" spans="1:10" x14ac:dyDescent="0.2">
      <c r="A29" s="109" t="s">
        <v>82</v>
      </c>
      <c r="B29" s="110">
        <f t="shared" si="6"/>
        <v>39264</v>
      </c>
      <c r="C29" s="110">
        <v>39355</v>
      </c>
      <c r="D29" s="111">
        <f t="shared" si="4"/>
        <v>92</v>
      </c>
      <c r="E29" s="111">
        <v>8.25</v>
      </c>
      <c r="F29" s="131">
        <f>F$15+G$21-SUM(H$20:H28)-SUM(I$20:I28)</f>
        <v>72217.126859378797</v>
      </c>
      <c r="G29" s="114">
        <f t="shared" si="5"/>
        <v>1501.7205283909182</v>
      </c>
      <c r="H29" s="114">
        <f t="shared" si="2"/>
        <v>5641.2074999999995</v>
      </c>
      <c r="I29" s="116">
        <f t="shared" si="3"/>
        <v>376.88640494823369</v>
      </c>
      <c r="J29" s="137"/>
    </row>
    <row r="30" spans="1:10" x14ac:dyDescent="0.2">
      <c r="A30" s="123" t="s">
        <v>83</v>
      </c>
      <c r="B30" s="110">
        <f t="shared" si="6"/>
        <v>39356</v>
      </c>
      <c r="C30" s="110">
        <v>39447</v>
      </c>
      <c r="D30" s="111">
        <f t="shared" si="4"/>
        <v>92</v>
      </c>
      <c r="E30" s="111">
        <v>8.25</v>
      </c>
      <c r="F30" s="131">
        <f>F$15+G$21-SUM(H$20:H29)-SUM(I$20:I29)</f>
        <v>66199.032954430571</v>
      </c>
      <c r="G30" s="114">
        <f t="shared" si="5"/>
        <v>1376.5771510250083</v>
      </c>
      <c r="H30" s="114">
        <f t="shared" si="2"/>
        <v>5641.2074999999995</v>
      </c>
      <c r="I30" s="116">
        <f t="shared" si="3"/>
        <v>376.88640494823369</v>
      </c>
      <c r="J30" s="137"/>
    </row>
    <row r="31" spans="1:10" x14ac:dyDescent="0.2">
      <c r="A31" s="123" t="s">
        <v>105</v>
      </c>
      <c r="B31" s="110">
        <f t="shared" si="6"/>
        <v>39448</v>
      </c>
      <c r="C31" s="110">
        <v>39538</v>
      </c>
      <c r="D31" s="111">
        <f t="shared" ref="D31:D41" si="7">+C31-B31+1</f>
        <v>91</v>
      </c>
      <c r="E31" s="111">
        <v>7.76</v>
      </c>
      <c r="F31" s="131">
        <f>F$15+G$21-SUM(H$20:H30)-SUM(I$20:I30)</f>
        <v>60180.939049482346</v>
      </c>
      <c r="G31" s="114">
        <f>+D31/366*E31/100*F31</f>
        <v>1161.1303803055316</v>
      </c>
      <c r="H31" s="114">
        <f t="shared" ref="H31:H40" si="8">F$15/20</f>
        <v>5641.2074999999995</v>
      </c>
      <c r="I31" s="115">
        <f t="shared" ref="I31:I40" si="9">G$21/20</f>
        <v>376.88640494823369</v>
      </c>
      <c r="J31" s="35"/>
    </row>
    <row r="32" spans="1:10" x14ac:dyDescent="0.2">
      <c r="A32" s="123" t="s">
        <v>106</v>
      </c>
      <c r="B32" s="110">
        <f t="shared" si="6"/>
        <v>39539</v>
      </c>
      <c r="C32" s="110">
        <v>39629</v>
      </c>
      <c r="D32" s="111">
        <f t="shared" si="7"/>
        <v>91</v>
      </c>
      <c r="E32" s="111">
        <v>6.77</v>
      </c>
      <c r="F32" s="131">
        <f>F$15+G$21-SUM(H$20:H31)-SUM(I$20:I31)</f>
        <v>54162.845144534112</v>
      </c>
      <c r="G32" s="114">
        <f>+D32/366*E32/100*F32</f>
        <v>911.69683082494885</v>
      </c>
      <c r="H32" s="114">
        <f t="shared" si="8"/>
        <v>5641.2074999999995</v>
      </c>
      <c r="I32" s="115">
        <f t="shared" si="9"/>
        <v>376.88640494823369</v>
      </c>
      <c r="J32" s="35"/>
    </row>
    <row r="33" spans="1:10" x14ac:dyDescent="0.2">
      <c r="A33" s="123" t="s">
        <v>107</v>
      </c>
      <c r="B33" s="110">
        <f t="shared" si="6"/>
        <v>39630</v>
      </c>
      <c r="C33" s="110">
        <v>39721</v>
      </c>
      <c r="D33" s="111">
        <f t="shared" si="7"/>
        <v>92</v>
      </c>
      <c r="E33" s="111">
        <v>5.3</v>
      </c>
      <c r="F33" s="131">
        <f>F$15+G$21-SUM(H$20:H32)-SUM(I$20:I32)</f>
        <v>48144.751239585879</v>
      </c>
      <c r="G33" s="114">
        <f>+D33/366*E33/100*F33</f>
        <v>641.40384438311685</v>
      </c>
      <c r="H33" s="114">
        <f t="shared" si="8"/>
        <v>5641.2074999999995</v>
      </c>
      <c r="I33" s="115">
        <f t="shared" si="9"/>
        <v>376.88640494823369</v>
      </c>
      <c r="J33" s="35"/>
    </row>
    <row r="34" spans="1:10" x14ac:dyDescent="0.2">
      <c r="A34" s="123" t="s">
        <v>100</v>
      </c>
      <c r="B34" s="110">
        <f t="shared" si="6"/>
        <v>39722</v>
      </c>
      <c r="C34" s="110">
        <v>39813</v>
      </c>
      <c r="D34" s="111">
        <f t="shared" si="7"/>
        <v>92</v>
      </c>
      <c r="E34" s="111">
        <v>5</v>
      </c>
      <c r="F34" s="131">
        <f>F$15+G$21-SUM(H$20:H33)-SUM(I$20:I33)</f>
        <v>42126.657334637646</v>
      </c>
      <c r="G34" s="114">
        <f>+D34/366*E34/100*F34</f>
        <v>529.46072059927099</v>
      </c>
      <c r="H34" s="114">
        <f t="shared" si="8"/>
        <v>5641.2074999999995</v>
      </c>
      <c r="I34" s="115">
        <f t="shared" si="9"/>
        <v>376.88640494823369</v>
      </c>
      <c r="J34" s="35"/>
    </row>
    <row r="35" spans="1:10" x14ac:dyDescent="0.2">
      <c r="A35" s="123" t="s">
        <v>108</v>
      </c>
      <c r="B35" s="110">
        <f t="shared" si="6"/>
        <v>39814</v>
      </c>
      <c r="C35" s="110">
        <v>39903</v>
      </c>
      <c r="D35" s="111">
        <f t="shared" si="7"/>
        <v>90</v>
      </c>
      <c r="E35" s="111">
        <v>4.5199999999999996</v>
      </c>
      <c r="F35" s="131">
        <f>F$15+G$21-SUM(H$20:H34)-SUM(I$20:I34)</f>
        <v>36108.563429689406</v>
      </c>
      <c r="G35" s="114">
        <f t="shared" ref="G35:G41" si="10">+D35/365*E35/100*F35</f>
        <v>402.43735899171645</v>
      </c>
      <c r="H35" s="114">
        <f t="shared" si="8"/>
        <v>5641.2074999999995</v>
      </c>
      <c r="I35" s="115">
        <f t="shared" si="9"/>
        <v>376.88640494823369</v>
      </c>
      <c r="J35" s="35"/>
    </row>
    <row r="36" spans="1:10" x14ac:dyDescent="0.2">
      <c r="A36" s="123" t="s">
        <v>109</v>
      </c>
      <c r="B36" s="110">
        <f t="shared" si="6"/>
        <v>39904</v>
      </c>
      <c r="C36" s="110">
        <v>39994</v>
      </c>
      <c r="D36" s="111">
        <f t="shared" si="7"/>
        <v>91</v>
      </c>
      <c r="E36" s="111">
        <v>3.37</v>
      </c>
      <c r="F36" s="131">
        <f>F$15+G$21-SUM(H$20:H35)-SUM(I$20:I35)</f>
        <v>30090.469524741169</v>
      </c>
      <c r="G36" s="114">
        <f t="shared" si="10"/>
        <v>252.81765175759926</v>
      </c>
      <c r="H36" s="114">
        <f t="shared" si="8"/>
        <v>5641.2074999999995</v>
      </c>
      <c r="I36" s="115">
        <f t="shared" si="9"/>
        <v>376.88640494823369</v>
      </c>
      <c r="J36" s="35"/>
    </row>
    <row r="37" spans="1:10" x14ac:dyDescent="0.2">
      <c r="A37" s="123" t="s">
        <v>111</v>
      </c>
      <c r="B37" s="110">
        <f t="shared" si="6"/>
        <v>39995</v>
      </c>
      <c r="C37" s="110">
        <v>40086</v>
      </c>
      <c r="D37" s="111">
        <f t="shared" si="7"/>
        <v>92</v>
      </c>
      <c r="E37" s="111">
        <v>3.25</v>
      </c>
      <c r="F37" s="131">
        <f>F$15+G$21-SUM(H$20:H36)-SUM(I$20:I36)</f>
        <v>24072.375619792932</v>
      </c>
      <c r="G37" s="114">
        <f t="shared" si="10"/>
        <v>197.19562494022156</v>
      </c>
      <c r="H37" s="114">
        <f t="shared" si="8"/>
        <v>5641.2074999999995</v>
      </c>
      <c r="I37" s="115">
        <f t="shared" si="9"/>
        <v>376.88640494823369</v>
      </c>
      <c r="J37" s="35"/>
    </row>
    <row r="38" spans="1:10" x14ac:dyDescent="0.2">
      <c r="A38" s="123" t="s">
        <v>101</v>
      </c>
      <c r="B38" s="110">
        <f t="shared" si="6"/>
        <v>40087</v>
      </c>
      <c r="C38" s="110">
        <v>40178</v>
      </c>
      <c r="D38" s="111">
        <f t="shared" si="7"/>
        <v>92</v>
      </c>
      <c r="E38" s="111">
        <v>3.25</v>
      </c>
      <c r="F38" s="131">
        <f>F$15+G$21-SUM(H$20:H37)-SUM(I$20:I37)</f>
        <v>18054.281714844692</v>
      </c>
      <c r="G38" s="114">
        <f t="shared" si="10"/>
        <v>147.89671870516611</v>
      </c>
      <c r="H38" s="114">
        <f t="shared" si="8"/>
        <v>5641.2074999999995</v>
      </c>
      <c r="I38" s="115">
        <f t="shared" si="9"/>
        <v>376.88640494823369</v>
      </c>
      <c r="J38" s="35"/>
    </row>
    <row r="39" spans="1:10" x14ac:dyDescent="0.2">
      <c r="A39" s="123" t="s">
        <v>112</v>
      </c>
      <c r="B39" s="110">
        <f t="shared" si="6"/>
        <v>40179</v>
      </c>
      <c r="C39" s="110">
        <v>40268</v>
      </c>
      <c r="D39" s="111">
        <f t="shared" si="7"/>
        <v>90</v>
      </c>
      <c r="E39" s="111">
        <v>3.25</v>
      </c>
      <c r="F39" s="131">
        <f>F$15+G$21-SUM(H$20:H38)-SUM(I$20:I38)</f>
        <v>12036.187809896455</v>
      </c>
      <c r="G39" s="114">
        <f t="shared" si="10"/>
        <v>96.454381764238704</v>
      </c>
      <c r="H39" s="114">
        <f t="shared" si="8"/>
        <v>5641.2074999999995</v>
      </c>
      <c r="I39" s="115">
        <f t="shared" si="9"/>
        <v>376.88640494823369</v>
      </c>
      <c r="J39" s="35"/>
    </row>
    <row r="40" spans="1:10" x14ac:dyDescent="0.2">
      <c r="A40" s="123" t="s">
        <v>113</v>
      </c>
      <c r="B40" s="110">
        <f t="shared" si="6"/>
        <v>40269</v>
      </c>
      <c r="C40" s="110">
        <v>40359</v>
      </c>
      <c r="D40" s="111">
        <f t="shared" si="7"/>
        <v>91</v>
      </c>
      <c r="E40" s="111">
        <v>3.25</v>
      </c>
      <c r="F40" s="131">
        <f>F$15+G$21-SUM(H$20:H39)-SUM(I$20:I39)</f>
        <v>6018.0939049482186</v>
      </c>
      <c r="G40" s="114">
        <f t="shared" si="10"/>
        <v>48.763048558587279</v>
      </c>
      <c r="H40" s="114">
        <f t="shared" si="8"/>
        <v>5641.2074999999995</v>
      </c>
      <c r="I40" s="115">
        <f t="shared" si="9"/>
        <v>376.88640494823369</v>
      </c>
      <c r="J40" s="35"/>
    </row>
    <row r="41" spans="1:10" x14ac:dyDescent="0.2">
      <c r="A41" s="124" t="s">
        <v>114</v>
      </c>
      <c r="B41" s="125">
        <f t="shared" si="6"/>
        <v>40360</v>
      </c>
      <c r="C41" s="125">
        <v>40451</v>
      </c>
      <c r="D41" s="126">
        <f t="shared" si="7"/>
        <v>92</v>
      </c>
      <c r="E41" s="111">
        <v>3.25</v>
      </c>
      <c r="F41" s="132">
        <f>F$15+G$21-SUM(H$20:H40)-SUM(I$20:I40)</f>
        <v>-1.9099388737231493E-11</v>
      </c>
      <c r="G41" s="127">
        <f t="shared" si="10"/>
        <v>-1.5645800636800595E-13</v>
      </c>
      <c r="H41" s="127">
        <v>0</v>
      </c>
      <c r="I41" s="128">
        <v>0</v>
      </c>
      <c r="J41" s="35"/>
    </row>
    <row r="42" spans="1:10" x14ac:dyDescent="0.2">
      <c r="G42" s="55"/>
      <c r="I42" s="55"/>
      <c r="J42" s="55"/>
    </row>
    <row r="43" spans="1:10" x14ac:dyDescent="0.2">
      <c r="A43" s="387" t="s">
        <v>59</v>
      </c>
      <c r="B43" s="388"/>
      <c r="C43" s="388"/>
      <c r="D43" s="388"/>
      <c r="E43" s="388"/>
      <c r="F43" s="388"/>
      <c r="G43" s="388"/>
      <c r="H43" s="388"/>
      <c r="I43" s="388"/>
      <c r="J43" s="389"/>
    </row>
    <row r="44" spans="1:10" x14ac:dyDescent="0.2">
      <c r="A44" s="30" t="s">
        <v>10</v>
      </c>
      <c r="B44" s="30" t="s">
        <v>11</v>
      </c>
      <c r="C44" s="30" t="s">
        <v>12</v>
      </c>
      <c r="D44" s="30" t="s">
        <v>13</v>
      </c>
      <c r="E44" s="30" t="s">
        <v>14</v>
      </c>
      <c r="F44" s="30" t="s">
        <v>15</v>
      </c>
      <c r="G44" s="30" t="s">
        <v>16</v>
      </c>
      <c r="H44" s="30"/>
      <c r="I44" s="30"/>
      <c r="J44" s="30" t="s">
        <v>17</v>
      </c>
    </row>
    <row r="45" spans="1:10" ht="51" x14ac:dyDescent="0.2">
      <c r="A45" s="31" t="s">
        <v>18</v>
      </c>
      <c r="B45" s="31" t="s">
        <v>19</v>
      </c>
      <c r="C45" s="31" t="s">
        <v>20</v>
      </c>
      <c r="D45" s="31" t="s">
        <v>21</v>
      </c>
      <c r="E45" s="31" t="s">
        <v>22</v>
      </c>
      <c r="F45" s="31" t="s">
        <v>23</v>
      </c>
      <c r="G45" s="6" t="s">
        <v>130</v>
      </c>
      <c r="H45" s="6" t="s">
        <v>37</v>
      </c>
      <c r="I45" s="6" t="s">
        <v>131</v>
      </c>
      <c r="J45" s="31" t="s">
        <v>25</v>
      </c>
    </row>
    <row r="46" spans="1:10" x14ac:dyDescent="0.2">
      <c r="A46" s="102" t="s">
        <v>47</v>
      </c>
      <c r="B46" s="103">
        <v>37465</v>
      </c>
      <c r="C46" s="103">
        <v>37529</v>
      </c>
      <c r="D46" s="104">
        <f t="shared" ref="D46:D58" si="11">+C46-B46+1</f>
        <v>65</v>
      </c>
      <c r="E46" s="104">
        <v>4.75</v>
      </c>
      <c r="F46" s="106">
        <f>E7</f>
        <v>7127.53</v>
      </c>
      <c r="G46" s="107">
        <f t="shared" ref="G46:G51" si="12">+D46/365*E46/100*F46</f>
        <v>60.291092808219176</v>
      </c>
      <c r="H46" s="107"/>
      <c r="I46" s="108"/>
      <c r="J46" s="136">
        <f>F46+G46</f>
        <v>7187.821092808219</v>
      </c>
    </row>
    <row r="47" spans="1:10" x14ac:dyDescent="0.2">
      <c r="A47" s="109" t="s">
        <v>48</v>
      </c>
      <c r="B47" s="110">
        <v>37530</v>
      </c>
      <c r="C47" s="110">
        <v>37621</v>
      </c>
      <c r="D47" s="111">
        <f t="shared" si="11"/>
        <v>92</v>
      </c>
      <c r="E47" s="111">
        <v>4.75</v>
      </c>
      <c r="F47" s="113">
        <f>+J46</f>
        <v>7187.821092808219</v>
      </c>
      <c r="G47" s="114">
        <f t="shared" si="12"/>
        <v>86.056926508416211</v>
      </c>
      <c r="H47" s="114"/>
      <c r="I47" s="115"/>
      <c r="J47" s="129">
        <f>+J46+G47</f>
        <v>7273.8780193166349</v>
      </c>
    </row>
    <row r="48" spans="1:10" x14ac:dyDescent="0.2">
      <c r="A48" s="109" t="s">
        <v>26</v>
      </c>
      <c r="B48" s="110">
        <v>37622</v>
      </c>
      <c r="C48" s="110">
        <v>37711</v>
      </c>
      <c r="D48" s="111">
        <f t="shared" si="11"/>
        <v>90</v>
      </c>
      <c r="E48" s="112">
        <v>4.62</v>
      </c>
      <c r="F48" s="113">
        <f>+J47</f>
        <v>7273.8780193166349</v>
      </c>
      <c r="G48" s="114">
        <f t="shared" si="12"/>
        <v>82.86242412142073</v>
      </c>
      <c r="H48" s="114"/>
      <c r="I48" s="115"/>
      <c r="J48" s="129">
        <f>+J47+G48</f>
        <v>7356.740443438056</v>
      </c>
    </row>
    <row r="49" spans="1:10" x14ac:dyDescent="0.2">
      <c r="A49" s="109" t="s">
        <v>27</v>
      </c>
      <c r="B49" s="110">
        <v>37712</v>
      </c>
      <c r="C49" s="110">
        <v>37802</v>
      </c>
      <c r="D49" s="111">
        <f t="shared" si="11"/>
        <v>91</v>
      </c>
      <c r="E49" s="112">
        <v>4.25</v>
      </c>
      <c r="F49" s="113">
        <f>+J48</f>
        <v>7356.740443438056</v>
      </c>
      <c r="G49" s="114">
        <f t="shared" si="12"/>
        <v>77.951215520538852</v>
      </c>
      <c r="H49" s="114"/>
      <c r="I49" s="115"/>
      <c r="J49" s="129">
        <f>+J48+G49</f>
        <v>7434.6916589585944</v>
      </c>
    </row>
    <row r="50" spans="1:10" x14ac:dyDescent="0.2">
      <c r="A50" s="109" t="s">
        <v>28</v>
      </c>
      <c r="B50" s="110">
        <v>37803</v>
      </c>
      <c r="C50" s="110">
        <v>37894</v>
      </c>
      <c r="D50" s="111">
        <f t="shared" si="11"/>
        <v>92</v>
      </c>
      <c r="E50" s="112">
        <v>4.25</v>
      </c>
      <c r="F50" s="113">
        <f>+J49</f>
        <v>7434.6916589585944</v>
      </c>
      <c r="G50" s="114">
        <f t="shared" si="12"/>
        <v>79.642861332953714</v>
      </c>
      <c r="H50" s="114"/>
      <c r="I50" s="115"/>
      <c r="J50" s="129">
        <f>+J49+G50</f>
        <v>7514.334520291548</v>
      </c>
    </row>
    <row r="51" spans="1:10" x14ac:dyDescent="0.2">
      <c r="A51" s="109" t="s">
        <v>29</v>
      </c>
      <c r="B51" s="110">
        <v>37895</v>
      </c>
      <c r="C51" s="110">
        <v>37986</v>
      </c>
      <c r="D51" s="111">
        <f t="shared" si="11"/>
        <v>92</v>
      </c>
      <c r="E51" s="112">
        <v>4.07</v>
      </c>
      <c r="F51" s="113">
        <f t="shared" ref="F51:F58" si="13">+J50</f>
        <v>7514.334520291548</v>
      </c>
      <c r="G51" s="114">
        <f t="shared" si="12"/>
        <v>77.08677856925938</v>
      </c>
      <c r="H51" s="114"/>
      <c r="I51" s="115"/>
      <c r="J51" s="129">
        <f>+J50+G51</f>
        <v>7591.4212988608069</v>
      </c>
    </row>
    <row r="52" spans="1:10" x14ac:dyDescent="0.2">
      <c r="A52" s="109" t="s">
        <v>30</v>
      </c>
      <c r="B52" s="110">
        <v>37987</v>
      </c>
      <c r="C52" s="110">
        <v>38077</v>
      </c>
      <c r="D52" s="111">
        <f t="shared" si="11"/>
        <v>91</v>
      </c>
      <c r="E52" s="112">
        <v>4</v>
      </c>
      <c r="F52" s="113">
        <f t="shared" si="13"/>
        <v>7591.4212988608069</v>
      </c>
      <c r="G52" s="114">
        <f>+D52/366*E52/100*F52</f>
        <v>75.499381223642999</v>
      </c>
      <c r="H52" s="119"/>
      <c r="I52" s="141"/>
      <c r="J52" s="129">
        <f>+F52+G52</f>
        <v>7666.9206800844495</v>
      </c>
    </row>
    <row r="53" spans="1:10" x14ac:dyDescent="0.2">
      <c r="A53" s="109" t="s">
        <v>44</v>
      </c>
      <c r="B53" s="110">
        <v>38078</v>
      </c>
      <c r="C53" s="110">
        <v>38168</v>
      </c>
      <c r="D53" s="111">
        <f t="shared" si="11"/>
        <v>91</v>
      </c>
      <c r="E53" s="112">
        <v>4</v>
      </c>
      <c r="F53" s="113">
        <f t="shared" si="13"/>
        <v>7666.9206800844495</v>
      </c>
      <c r="G53" s="114">
        <f>+D53/366*E53/100*F53</f>
        <v>76.250249386632234</v>
      </c>
      <c r="H53" s="114"/>
      <c r="I53" s="115"/>
      <c r="J53" s="129">
        <f t="shared" ref="J53:J58" si="14">+F53+G53</f>
        <v>7743.1709294710818</v>
      </c>
    </row>
    <row r="54" spans="1:10" x14ac:dyDescent="0.2">
      <c r="A54" s="109" t="s">
        <v>41</v>
      </c>
      <c r="B54" s="110">
        <v>38169</v>
      </c>
      <c r="C54" s="110">
        <v>38260</v>
      </c>
      <c r="D54" s="111">
        <f t="shared" si="11"/>
        <v>92</v>
      </c>
      <c r="E54" s="112">
        <v>4</v>
      </c>
      <c r="F54" s="113">
        <f t="shared" si="13"/>
        <v>7743.1709294710818</v>
      </c>
      <c r="G54" s="114">
        <f>+D54/366*E54/100*F54</f>
        <v>77.854833389217433</v>
      </c>
      <c r="H54" s="114"/>
      <c r="I54" s="115"/>
      <c r="J54" s="129">
        <f t="shared" si="14"/>
        <v>7821.0257628602994</v>
      </c>
    </row>
    <row r="55" spans="1:10" x14ac:dyDescent="0.2">
      <c r="A55" s="109" t="s">
        <v>45</v>
      </c>
      <c r="B55" s="110">
        <v>38261</v>
      </c>
      <c r="C55" s="110">
        <v>38352</v>
      </c>
      <c r="D55" s="111">
        <f t="shared" si="11"/>
        <v>92</v>
      </c>
      <c r="E55" s="112">
        <v>4.22</v>
      </c>
      <c r="F55" s="113">
        <f t="shared" si="13"/>
        <v>7821.0257628602994</v>
      </c>
      <c r="G55" s="114">
        <f>+D55/365*E55/100*F55</f>
        <v>83.190001155421456</v>
      </c>
      <c r="H55" s="114"/>
      <c r="I55" s="115"/>
      <c r="J55" s="129">
        <f t="shared" si="14"/>
        <v>7904.2157640157211</v>
      </c>
    </row>
    <row r="56" spans="1:10" x14ac:dyDescent="0.2">
      <c r="A56" s="123" t="s">
        <v>33</v>
      </c>
      <c r="B56" s="110">
        <v>38353</v>
      </c>
      <c r="C56" s="110">
        <v>38442</v>
      </c>
      <c r="D56" s="111">
        <f t="shared" si="11"/>
        <v>90</v>
      </c>
      <c r="E56" s="112">
        <v>4.75</v>
      </c>
      <c r="F56" s="113">
        <f t="shared" si="13"/>
        <v>7904.2157640157211</v>
      </c>
      <c r="G56" s="114">
        <f>+D56/365*E56/100*F56</f>
        <v>92.576773674430711</v>
      </c>
      <c r="H56" s="114"/>
      <c r="I56" s="115"/>
      <c r="J56" s="129">
        <f t="shared" si="14"/>
        <v>7996.7925376901521</v>
      </c>
    </row>
    <row r="57" spans="1:10" x14ac:dyDescent="0.2">
      <c r="A57" s="123" t="s">
        <v>34</v>
      </c>
      <c r="B57" s="110">
        <v>38443</v>
      </c>
      <c r="C57" s="110">
        <v>38533</v>
      </c>
      <c r="D57" s="111">
        <f t="shared" si="11"/>
        <v>91</v>
      </c>
      <c r="E57" s="112">
        <v>5.3</v>
      </c>
      <c r="F57" s="113">
        <f t="shared" si="13"/>
        <v>7996.7925376901521</v>
      </c>
      <c r="G57" s="114">
        <f>+D57/365*E57/100*F57</f>
        <v>105.66720660076604</v>
      </c>
      <c r="H57" s="114"/>
      <c r="I57" s="115"/>
      <c r="J57" s="129">
        <f t="shared" si="14"/>
        <v>8102.459744290918</v>
      </c>
    </row>
    <row r="58" spans="1:10" x14ac:dyDescent="0.2">
      <c r="A58" s="123" t="s">
        <v>35</v>
      </c>
      <c r="B58" s="110">
        <v>38534</v>
      </c>
      <c r="C58" s="110">
        <v>38625</v>
      </c>
      <c r="D58" s="111">
        <f t="shared" si="11"/>
        <v>92</v>
      </c>
      <c r="E58" s="112">
        <v>5.77</v>
      </c>
      <c r="F58" s="113">
        <f t="shared" si="13"/>
        <v>8102.459744290918</v>
      </c>
      <c r="G58" s="114">
        <f>+D58/365*E58/100*F58</f>
        <v>117.83862275779154</v>
      </c>
      <c r="H58" s="114">
        <f>F$46/20</f>
        <v>356.37649999999996</v>
      </c>
      <c r="I58" s="115">
        <f>G$59/20</f>
        <v>26.969534004222549</v>
      </c>
      <c r="J58" s="129">
        <f t="shared" si="14"/>
        <v>8220.2983670487101</v>
      </c>
    </row>
    <row r="59" spans="1:10" x14ac:dyDescent="0.2">
      <c r="A59" s="117"/>
      <c r="B59" s="118"/>
      <c r="C59" s="118"/>
      <c r="D59" s="130"/>
      <c r="E59" s="393" t="s">
        <v>132</v>
      </c>
      <c r="F59" s="394"/>
      <c r="G59" s="120">
        <f>SUM(G46:G52)</f>
        <v>539.39068008445099</v>
      </c>
      <c r="H59" s="120"/>
      <c r="I59" s="121"/>
      <c r="J59" s="135"/>
    </row>
    <row r="60" spans="1:10" x14ac:dyDescent="0.2">
      <c r="A60" s="123" t="s">
        <v>36</v>
      </c>
      <c r="B60" s="110">
        <v>38626</v>
      </c>
      <c r="C60" s="110">
        <v>38717</v>
      </c>
      <c r="D60" s="111">
        <f>+C60-B60+1</f>
        <v>92</v>
      </c>
      <c r="E60" s="122">
        <v>6.23</v>
      </c>
      <c r="F60" s="131">
        <f>F$46+G$59-SUM(H$58:H59)-SUM(I$58:I59)</f>
        <v>7283.5746460802275</v>
      </c>
      <c r="G60" s="114">
        <f>+D60/365*E60/100*F60</f>
        <v>114.37407244239297</v>
      </c>
      <c r="H60" s="114">
        <f t="shared" ref="H60:H68" si="15">F$46/20</f>
        <v>356.37649999999996</v>
      </c>
      <c r="I60" s="116">
        <f>G$59/20</f>
        <v>26.969534004222549</v>
      </c>
      <c r="J60" s="134"/>
    </row>
    <row r="61" spans="1:10" x14ac:dyDescent="0.2">
      <c r="A61" s="109" t="s">
        <v>76</v>
      </c>
      <c r="B61" s="110">
        <f>C60+1</f>
        <v>38718</v>
      </c>
      <c r="C61" s="110">
        <v>38807</v>
      </c>
      <c r="D61" s="111">
        <f t="shared" ref="D61:D68" si="16">+C61-B61+1</f>
        <v>90</v>
      </c>
      <c r="E61" s="112">
        <v>6.78</v>
      </c>
      <c r="F61" s="131">
        <f>F$46+G$59-SUM(H$58:H60)-SUM(I$58:I60)</f>
        <v>6900.2286120760054</v>
      </c>
      <c r="G61" s="114">
        <f t="shared" ref="G61:G68" si="17">+D61/365*E61/100*F61</f>
        <v>115.356698605172</v>
      </c>
      <c r="H61" s="114">
        <f t="shared" si="15"/>
        <v>356.37649999999996</v>
      </c>
      <c r="I61" s="116">
        <f t="shared" ref="I61:I68" si="18">G$59/20</f>
        <v>26.969534004222549</v>
      </c>
      <c r="J61" s="137"/>
    </row>
    <row r="62" spans="1:10" x14ac:dyDescent="0.2">
      <c r="A62" s="109" t="s">
        <v>77</v>
      </c>
      <c r="B62" s="110">
        <f t="shared" ref="B62:B79" si="19">C61+1</f>
        <v>38808</v>
      </c>
      <c r="C62" s="110">
        <v>38898</v>
      </c>
      <c r="D62" s="111">
        <f t="shared" si="16"/>
        <v>91</v>
      </c>
      <c r="E62" s="112">
        <v>7.3</v>
      </c>
      <c r="F62" s="131">
        <f>F$46+G$59-SUM(H$58:H61)-SUM(I$58:I61)</f>
        <v>6516.8825780717825</v>
      </c>
      <c r="G62" s="114">
        <f t="shared" si="17"/>
        <v>118.60726292090645</v>
      </c>
      <c r="H62" s="114">
        <f t="shared" si="15"/>
        <v>356.37649999999996</v>
      </c>
      <c r="I62" s="116">
        <f t="shared" si="18"/>
        <v>26.969534004222549</v>
      </c>
      <c r="J62" s="137"/>
    </row>
    <row r="63" spans="1:10" x14ac:dyDescent="0.2">
      <c r="A63" s="109" t="s">
        <v>78</v>
      </c>
      <c r="B63" s="110">
        <f t="shared" si="19"/>
        <v>38899</v>
      </c>
      <c r="C63" s="110">
        <v>38990</v>
      </c>
      <c r="D63" s="111">
        <f t="shared" si="16"/>
        <v>92</v>
      </c>
      <c r="E63" s="111">
        <v>7.74</v>
      </c>
      <c r="F63" s="131">
        <f>F$46+G$59-SUM(H$58:H62)-SUM(I$58:I62)</f>
        <v>6133.5365440675596</v>
      </c>
      <c r="G63" s="114">
        <f t="shared" si="17"/>
        <v>119.65941650135969</v>
      </c>
      <c r="H63" s="114">
        <f t="shared" si="15"/>
        <v>356.37649999999996</v>
      </c>
      <c r="I63" s="116">
        <f t="shared" si="18"/>
        <v>26.969534004222549</v>
      </c>
      <c r="J63" s="137"/>
    </row>
    <row r="64" spans="1:10" x14ac:dyDescent="0.2">
      <c r="A64" s="109" t="s">
        <v>79</v>
      </c>
      <c r="B64" s="110">
        <f t="shared" si="19"/>
        <v>38991</v>
      </c>
      <c r="C64" s="110">
        <v>39082</v>
      </c>
      <c r="D64" s="111">
        <f t="shared" si="16"/>
        <v>92</v>
      </c>
      <c r="E64" s="111">
        <v>8.17</v>
      </c>
      <c r="F64" s="131">
        <f>F$46+G$59-SUM(H$58:H63)-SUM(I$58:I63)</f>
        <v>5750.1905100633376</v>
      </c>
      <c r="G64" s="114">
        <f t="shared" si="17"/>
        <v>118.41296424613719</v>
      </c>
      <c r="H64" s="114">
        <f t="shared" si="15"/>
        <v>356.37649999999996</v>
      </c>
      <c r="I64" s="116">
        <f t="shared" si="18"/>
        <v>26.969534004222549</v>
      </c>
      <c r="J64" s="137"/>
    </row>
    <row r="65" spans="1:10" x14ac:dyDescent="0.2">
      <c r="A65" s="109" t="s">
        <v>80</v>
      </c>
      <c r="B65" s="110">
        <f t="shared" si="19"/>
        <v>39083</v>
      </c>
      <c r="C65" s="110">
        <v>39172</v>
      </c>
      <c r="D65" s="111">
        <f t="shared" si="16"/>
        <v>90</v>
      </c>
      <c r="E65" s="111">
        <v>8.25</v>
      </c>
      <c r="F65" s="131">
        <f>F$46+G$59-SUM(H$58:H64)-SUM(I$58:I64)</f>
        <v>5366.8444760591156</v>
      </c>
      <c r="G65" s="114">
        <f t="shared" si="17"/>
        <v>109.17484995818886</v>
      </c>
      <c r="H65" s="114">
        <f t="shared" si="15"/>
        <v>356.37649999999996</v>
      </c>
      <c r="I65" s="116">
        <f t="shared" si="18"/>
        <v>26.969534004222549</v>
      </c>
      <c r="J65" s="137"/>
    </row>
    <row r="66" spans="1:10" x14ac:dyDescent="0.2">
      <c r="A66" s="109" t="s">
        <v>81</v>
      </c>
      <c r="B66" s="110">
        <f t="shared" si="19"/>
        <v>39173</v>
      </c>
      <c r="C66" s="110">
        <v>39263</v>
      </c>
      <c r="D66" s="111">
        <f t="shared" si="16"/>
        <v>91</v>
      </c>
      <c r="E66" s="111">
        <v>8.25</v>
      </c>
      <c r="F66" s="131">
        <f>F$46+G$59-SUM(H$58:H65)-SUM(I$58:I65)</f>
        <v>4983.4984420548935</v>
      </c>
      <c r="G66" s="114">
        <f t="shared" si="17"/>
        <v>102.50305357185512</v>
      </c>
      <c r="H66" s="114">
        <f t="shared" si="15"/>
        <v>356.37649999999996</v>
      </c>
      <c r="I66" s="116">
        <f t="shared" si="18"/>
        <v>26.969534004222549</v>
      </c>
      <c r="J66" s="137"/>
    </row>
    <row r="67" spans="1:10" x14ac:dyDescent="0.2">
      <c r="A67" s="109" t="s">
        <v>82</v>
      </c>
      <c r="B67" s="110">
        <f t="shared" si="19"/>
        <v>39264</v>
      </c>
      <c r="C67" s="110">
        <v>39355</v>
      </c>
      <c r="D67" s="111">
        <f t="shared" si="16"/>
        <v>92</v>
      </c>
      <c r="E67" s="111">
        <v>8.25</v>
      </c>
      <c r="F67" s="131">
        <f>F$46+G$59-SUM(H$58:H66)-SUM(I$58:I66)</f>
        <v>4600.1524080506706</v>
      </c>
      <c r="G67" s="114">
        <f t="shared" si="17"/>
        <v>95.657963772889289</v>
      </c>
      <c r="H67" s="114">
        <f t="shared" si="15"/>
        <v>356.37649999999996</v>
      </c>
      <c r="I67" s="116">
        <f t="shared" si="18"/>
        <v>26.969534004222549</v>
      </c>
      <c r="J67" s="137"/>
    </row>
    <row r="68" spans="1:10" x14ac:dyDescent="0.2">
      <c r="A68" s="123" t="s">
        <v>83</v>
      </c>
      <c r="B68" s="110">
        <f t="shared" si="19"/>
        <v>39356</v>
      </c>
      <c r="C68" s="110">
        <v>39447</v>
      </c>
      <c r="D68" s="111">
        <f t="shared" si="16"/>
        <v>92</v>
      </c>
      <c r="E68" s="111">
        <v>8.25</v>
      </c>
      <c r="F68" s="131">
        <f>F$46+G$59-SUM(H$58:H67)-SUM(I$58:I67)</f>
        <v>4216.8063740464486</v>
      </c>
      <c r="G68" s="114">
        <f t="shared" si="17"/>
        <v>87.686466791815192</v>
      </c>
      <c r="H68" s="114">
        <f t="shared" si="15"/>
        <v>356.37649999999996</v>
      </c>
      <c r="I68" s="116">
        <f t="shared" si="18"/>
        <v>26.969534004222549</v>
      </c>
      <c r="J68" s="137"/>
    </row>
    <row r="69" spans="1:10" x14ac:dyDescent="0.2">
      <c r="A69" s="123" t="s">
        <v>105</v>
      </c>
      <c r="B69" s="110">
        <f t="shared" si="19"/>
        <v>39448</v>
      </c>
      <c r="C69" s="110">
        <v>39538</v>
      </c>
      <c r="D69" s="111">
        <f t="shared" ref="D69:D79" si="20">+C69-B69+1</f>
        <v>91</v>
      </c>
      <c r="E69" s="111">
        <v>7.76</v>
      </c>
      <c r="F69" s="131">
        <f>F$46+G$59-SUM(H$58:H68)-SUM(I$58:I68)</f>
        <v>3833.4603400422266</v>
      </c>
      <c r="G69" s="114">
        <f>+D69/366*E69/100*F69</f>
        <v>73.962741905033297</v>
      </c>
      <c r="H69" s="114">
        <f t="shared" ref="H69:H78" si="21">F$46/20</f>
        <v>356.37649999999996</v>
      </c>
      <c r="I69" s="115">
        <f t="shared" ref="I69:I78" si="22">G$59/20</f>
        <v>26.969534004222549</v>
      </c>
    </row>
    <row r="70" spans="1:10" x14ac:dyDescent="0.2">
      <c r="A70" s="123" t="s">
        <v>106</v>
      </c>
      <c r="B70" s="110">
        <f t="shared" si="19"/>
        <v>39539</v>
      </c>
      <c r="C70" s="110">
        <v>39629</v>
      </c>
      <c r="D70" s="111">
        <f t="shared" si="20"/>
        <v>91</v>
      </c>
      <c r="E70" s="111">
        <v>6.77</v>
      </c>
      <c r="F70" s="131">
        <f>F$46+G$59-SUM(H$58:H69)-SUM(I$58:I69)</f>
        <v>3450.1143060380036</v>
      </c>
      <c r="G70" s="114">
        <f>+D70/366*E70/100*F70</f>
        <v>58.074096189093787</v>
      </c>
      <c r="H70" s="114">
        <f t="shared" si="21"/>
        <v>356.37649999999996</v>
      </c>
      <c r="I70" s="115">
        <f t="shared" si="22"/>
        <v>26.969534004222549</v>
      </c>
    </row>
    <row r="71" spans="1:10" x14ac:dyDescent="0.2">
      <c r="A71" s="123" t="s">
        <v>107</v>
      </c>
      <c r="B71" s="110">
        <f t="shared" si="19"/>
        <v>39630</v>
      </c>
      <c r="C71" s="110">
        <v>39721</v>
      </c>
      <c r="D71" s="111">
        <f t="shared" si="20"/>
        <v>92</v>
      </c>
      <c r="E71" s="111">
        <v>5.3</v>
      </c>
      <c r="F71" s="131">
        <f>F$46+G$59-SUM(H$58:H70)-SUM(I$58:I70)</f>
        <v>3066.7682720337807</v>
      </c>
      <c r="G71" s="114">
        <f>+D71/366*E71/100*F71</f>
        <v>40.8567270339801</v>
      </c>
      <c r="H71" s="114">
        <f t="shared" si="21"/>
        <v>356.37649999999996</v>
      </c>
      <c r="I71" s="115">
        <f t="shared" si="22"/>
        <v>26.969534004222549</v>
      </c>
    </row>
    <row r="72" spans="1:10" x14ac:dyDescent="0.2">
      <c r="A72" s="123" t="s">
        <v>100</v>
      </c>
      <c r="B72" s="110">
        <f t="shared" si="19"/>
        <v>39722</v>
      </c>
      <c r="C72" s="110">
        <v>39813</v>
      </c>
      <c r="D72" s="111">
        <f t="shared" si="20"/>
        <v>92</v>
      </c>
      <c r="E72" s="111">
        <v>5</v>
      </c>
      <c r="F72" s="131">
        <f>F$46+G$59-SUM(H$58:H71)-SUM(I$58:I71)</f>
        <v>2683.4222380295578</v>
      </c>
      <c r="G72" s="114">
        <f>+D72/366*E72/100*F72</f>
        <v>33.726071844087336</v>
      </c>
      <c r="H72" s="114">
        <f t="shared" si="21"/>
        <v>356.37649999999996</v>
      </c>
      <c r="I72" s="115">
        <f t="shared" si="22"/>
        <v>26.969534004222549</v>
      </c>
    </row>
    <row r="73" spans="1:10" x14ac:dyDescent="0.2">
      <c r="A73" s="123" t="s">
        <v>108</v>
      </c>
      <c r="B73" s="110">
        <f t="shared" si="19"/>
        <v>39814</v>
      </c>
      <c r="C73" s="110">
        <v>39903</v>
      </c>
      <c r="D73" s="111">
        <f t="shared" si="20"/>
        <v>90</v>
      </c>
      <c r="E73" s="111">
        <v>4.5199999999999996</v>
      </c>
      <c r="F73" s="131">
        <f>F$46+G$59-SUM(H$58:H72)-SUM(I$58:I72)</f>
        <v>2300.0762040253348</v>
      </c>
      <c r="G73" s="114">
        <f>+D73/365*E73/100*F73</f>
        <v>25.634821912260442</v>
      </c>
      <c r="H73" s="114">
        <f t="shared" si="21"/>
        <v>356.37649999999996</v>
      </c>
      <c r="I73" s="115">
        <f t="shared" si="22"/>
        <v>26.969534004222549</v>
      </c>
    </row>
    <row r="74" spans="1:10" x14ac:dyDescent="0.2">
      <c r="A74" s="123" t="s">
        <v>109</v>
      </c>
      <c r="B74" s="110">
        <f t="shared" si="19"/>
        <v>39904</v>
      </c>
      <c r="C74" s="110">
        <v>39994</v>
      </c>
      <c r="D74" s="111">
        <f t="shared" si="20"/>
        <v>91</v>
      </c>
      <c r="E74" s="111">
        <v>3.37</v>
      </c>
      <c r="F74" s="131">
        <f>F$46+G$59-SUM(H$58:H73)-SUM(I$58:I73)</f>
        <v>1916.7301700211121</v>
      </c>
      <c r="G74" s="114">
        <f t="shared" ref="G74:G79" si="23">+D74/365*E74/100*F74</f>
        <v>16.104209349051352</v>
      </c>
      <c r="H74" s="114">
        <f t="shared" si="21"/>
        <v>356.37649999999996</v>
      </c>
      <c r="I74" s="115">
        <f t="shared" si="22"/>
        <v>26.969534004222549</v>
      </c>
    </row>
    <row r="75" spans="1:10" x14ac:dyDescent="0.2">
      <c r="A75" s="123" t="s">
        <v>111</v>
      </c>
      <c r="B75" s="110">
        <f t="shared" si="19"/>
        <v>39995</v>
      </c>
      <c r="C75" s="110">
        <v>40086</v>
      </c>
      <c r="D75" s="111">
        <f t="shared" si="20"/>
        <v>92</v>
      </c>
      <c r="E75" s="111">
        <v>3.25</v>
      </c>
      <c r="F75" s="131">
        <f>F$46+G$59-SUM(H$58:H74)-SUM(I$58:I74)</f>
        <v>1533.3841360168892</v>
      </c>
      <c r="G75" s="114">
        <f t="shared" si="23"/>
        <v>12.561146758056163</v>
      </c>
      <c r="H75" s="114">
        <f t="shared" si="21"/>
        <v>356.37649999999996</v>
      </c>
      <c r="I75" s="115">
        <f t="shared" si="22"/>
        <v>26.969534004222549</v>
      </c>
    </row>
    <row r="76" spans="1:10" x14ac:dyDescent="0.2">
      <c r="A76" s="123" t="s">
        <v>101</v>
      </c>
      <c r="B76" s="110">
        <f t="shared" si="19"/>
        <v>40087</v>
      </c>
      <c r="C76" s="110">
        <v>40178</v>
      </c>
      <c r="D76" s="111">
        <f t="shared" si="20"/>
        <v>92</v>
      </c>
      <c r="E76" s="111">
        <v>3.25</v>
      </c>
      <c r="F76" s="131">
        <f>F$46+G$59-SUM(H$58:H75)-SUM(I$58:I75)</f>
        <v>1150.0381020126663</v>
      </c>
      <c r="G76" s="114">
        <f t="shared" si="23"/>
        <v>9.4208600685421171</v>
      </c>
      <c r="H76" s="114">
        <f t="shared" si="21"/>
        <v>356.37649999999996</v>
      </c>
      <c r="I76" s="115">
        <f t="shared" si="22"/>
        <v>26.969534004222549</v>
      </c>
    </row>
    <row r="77" spans="1:10" x14ac:dyDescent="0.2">
      <c r="A77" s="123" t="s">
        <v>112</v>
      </c>
      <c r="B77" s="110">
        <f t="shared" si="19"/>
        <v>40179</v>
      </c>
      <c r="C77" s="110">
        <v>40268</v>
      </c>
      <c r="D77" s="111">
        <f t="shared" si="20"/>
        <v>90</v>
      </c>
      <c r="E77" s="111">
        <v>3.25</v>
      </c>
      <c r="F77" s="131">
        <f>F$46+G$59-SUM(H$58:H76)-SUM(I$58:I76)</f>
        <v>766.69206800844347</v>
      </c>
      <c r="G77" s="114">
        <f t="shared" si="23"/>
        <v>6.1440391751361565</v>
      </c>
      <c r="H77" s="114">
        <f t="shared" si="21"/>
        <v>356.37649999999996</v>
      </c>
      <c r="I77" s="115">
        <f t="shared" si="22"/>
        <v>26.969534004222549</v>
      </c>
    </row>
    <row r="78" spans="1:10" x14ac:dyDescent="0.2">
      <c r="A78" s="123" t="s">
        <v>113</v>
      </c>
      <c r="B78" s="110">
        <f t="shared" si="19"/>
        <v>40269</v>
      </c>
      <c r="C78" s="110">
        <v>40359</v>
      </c>
      <c r="D78" s="111">
        <f t="shared" si="20"/>
        <v>91</v>
      </c>
      <c r="E78" s="111">
        <v>3.25</v>
      </c>
      <c r="F78" s="131">
        <f>F$46+G$59-SUM(H$58:H77)-SUM(I$58:I77)</f>
        <v>383.34603400422066</v>
      </c>
      <c r="G78" s="114">
        <f t="shared" si="23"/>
        <v>3.1061531385410484</v>
      </c>
      <c r="H78" s="114">
        <f t="shared" si="21"/>
        <v>356.37649999999996</v>
      </c>
      <c r="I78" s="115">
        <f t="shared" si="22"/>
        <v>26.969534004222549</v>
      </c>
    </row>
    <row r="79" spans="1:10" x14ac:dyDescent="0.2">
      <c r="A79" s="124" t="s">
        <v>114</v>
      </c>
      <c r="B79" s="125">
        <f t="shared" si="19"/>
        <v>40360</v>
      </c>
      <c r="C79" s="125">
        <v>40451</v>
      </c>
      <c r="D79" s="126">
        <f t="shared" si="20"/>
        <v>92</v>
      </c>
      <c r="E79" s="126">
        <v>3.25</v>
      </c>
      <c r="F79" s="132">
        <f>F$46+G$59-SUM(H$58:H78)-SUM(I$58:I78)</f>
        <v>-2.1600499167107046E-12</v>
      </c>
      <c r="G79" s="127">
        <f t="shared" si="23"/>
        <v>-1.7694655482095911E-14</v>
      </c>
      <c r="H79" s="127">
        <v>0</v>
      </c>
      <c r="I79" s="128">
        <v>0</v>
      </c>
    </row>
    <row r="80" spans="1:10" x14ac:dyDescent="0.2">
      <c r="G80" s="55"/>
      <c r="I80" s="55"/>
      <c r="J80" s="55"/>
    </row>
  </sheetData>
  <customSheetViews>
    <customSheetView guid="{6086CA2F-D319-4FB4-8773-987A9787386E}" scale="75" showRuler="0" topLeftCell="A45">
      <selection sqref="A1:IV65536"/>
      <rowBreaks count="1" manualBreakCount="1">
        <brk id="42" max="16383" man="1"/>
      </rowBreaks>
      <pageMargins left="0.75" right="0.75" top="1" bottom="1" header="0.5" footer="0.5"/>
      <pageSetup scale="80" orientation="landscape" r:id="rId1"/>
      <headerFooter alignWithMargins="0">
        <oddFooter>&amp;L&amp;D&amp;R&amp;A</oddFooter>
      </headerFooter>
    </customSheetView>
  </customSheetViews>
  <mergeCells count="6">
    <mergeCell ref="E59:F59"/>
    <mergeCell ref="A12:J12"/>
    <mergeCell ref="C2:F2"/>
    <mergeCell ref="A9:B9"/>
    <mergeCell ref="A43:J43"/>
    <mergeCell ref="E21:F21"/>
  </mergeCells>
  <phoneticPr fontId="2" type="noConversion"/>
  <pageMargins left="0.5" right="0.5" top="1" bottom="0.89" header="0.5" footer="0.5"/>
  <pageSetup scale="61" orientation="landscape" r:id="rId2"/>
  <headerFooter alignWithMargins="0">
    <oddHeader>&amp;C&amp;A&amp;RAttachment 4
WP-Schedule 22 
&amp;P of &amp;N</oddHeader>
  </headerFooter>
  <rowBreaks count="1" manualBreakCount="1">
    <brk id="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 enableFormatConditionsCalculation="0">
    <tabColor theme="0" tint="-4.9989318521683403E-2"/>
  </sheetPr>
  <dimension ref="A1:Y125"/>
  <sheetViews>
    <sheetView view="pageLayout" zoomScaleNormal="85" workbookViewId="0">
      <selection activeCell="F47" sqref="F47"/>
    </sheetView>
  </sheetViews>
  <sheetFormatPr defaultRowHeight="12.75" x14ac:dyDescent="0.2"/>
  <cols>
    <col min="1" max="1" width="12.5703125" style="22" customWidth="1"/>
    <col min="2" max="2" width="14.5703125" style="22" customWidth="1"/>
    <col min="3" max="5" width="16.7109375" style="22" customWidth="1"/>
    <col min="6" max="6" width="16.85546875" style="22" customWidth="1"/>
    <col min="7" max="7" width="15.5703125" style="22" customWidth="1"/>
    <col min="8" max="11" width="16.85546875" style="22" customWidth="1"/>
    <col min="12" max="12" width="9.140625" style="22"/>
    <col min="13" max="13" width="15.28515625" style="22" bestFit="1" customWidth="1"/>
    <col min="14" max="14" width="12.85546875" style="22" bestFit="1" customWidth="1"/>
    <col min="15" max="15" width="28.7109375" style="22" bestFit="1" customWidth="1"/>
    <col min="16" max="17" width="15.28515625" style="22" bestFit="1" customWidth="1"/>
    <col min="18" max="18" width="14.28515625" style="22" bestFit="1" customWidth="1"/>
    <col min="19" max="19" width="15.28515625" style="22" bestFit="1" customWidth="1"/>
    <col min="20" max="20" width="9.140625" style="22"/>
    <col min="21" max="21" width="19" style="22" bestFit="1" customWidth="1"/>
    <col min="22" max="22" width="14.28515625" style="22" bestFit="1" customWidth="1"/>
    <col min="23" max="23" width="13.5703125" style="22" bestFit="1" customWidth="1"/>
    <col min="24" max="24" width="15.28515625" style="22" bestFit="1" customWidth="1"/>
    <col min="25" max="16384" width="9.140625" style="22"/>
  </cols>
  <sheetData>
    <row r="1" spans="1:24" ht="15" x14ac:dyDescent="0.25">
      <c r="A1" s="1"/>
      <c r="B1" s="1"/>
      <c r="C1" s="291" t="s">
        <v>96</v>
      </c>
      <c r="D1" s="291"/>
      <c r="E1" s="291"/>
      <c r="F1" s="291"/>
      <c r="G1" s="1"/>
      <c r="H1" s="291" t="s">
        <v>98</v>
      </c>
      <c r="I1" s="291"/>
      <c r="J1" s="291"/>
      <c r="K1" s="29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38.25" x14ac:dyDescent="0.2">
      <c r="A2" s="3" t="s">
        <v>71</v>
      </c>
      <c r="B2" s="4" t="s">
        <v>8</v>
      </c>
      <c r="C2" s="3" t="s">
        <v>7</v>
      </c>
      <c r="D2" s="3" t="s">
        <v>1</v>
      </c>
      <c r="E2" s="3" t="s">
        <v>86</v>
      </c>
      <c r="F2" s="4" t="s">
        <v>0</v>
      </c>
      <c r="G2" s="1"/>
      <c r="H2" s="3" t="s">
        <v>7</v>
      </c>
      <c r="I2" s="3" t="s">
        <v>1</v>
      </c>
      <c r="J2" s="3" t="s">
        <v>86</v>
      </c>
      <c r="K2" s="4" t="s">
        <v>0</v>
      </c>
      <c r="L2" s="1"/>
      <c r="M2" s="1"/>
      <c r="N2" s="1"/>
      <c r="O2" s="1"/>
      <c r="P2" s="294" t="s">
        <v>180</v>
      </c>
      <c r="Q2" s="294"/>
      <c r="R2" s="294"/>
      <c r="S2" s="294"/>
      <c r="T2" s="294"/>
      <c r="U2" s="294"/>
      <c r="V2" s="294"/>
      <c r="W2" s="1"/>
      <c r="X2" s="1"/>
    </row>
    <row r="3" spans="1:24" x14ac:dyDescent="0.2">
      <c r="A3" s="39">
        <v>1</v>
      </c>
      <c r="B3" s="11">
        <v>37468</v>
      </c>
      <c r="C3" s="292">
        <v>1302355.06</v>
      </c>
      <c r="D3" s="292">
        <v>273592.33</v>
      </c>
      <c r="E3" s="292">
        <v>0</v>
      </c>
      <c r="F3" s="293">
        <f>SUM(C3:E3)</f>
        <v>1575947.3900000001</v>
      </c>
      <c r="G3" s="1"/>
      <c r="H3" s="282">
        <f>ROUND(C3*0.4175,2)</f>
        <v>543733.24</v>
      </c>
      <c r="I3" s="282">
        <f t="shared" ref="I3:J30" si="0">ROUND(D3*0.4175,2)</f>
        <v>114224.8</v>
      </c>
      <c r="J3" s="282">
        <f t="shared" si="0"/>
        <v>0</v>
      </c>
      <c r="K3" s="293">
        <f t="shared" ref="K3:K30" si="1">SUM(H3:J3)</f>
        <v>657958.04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">
      <c r="A4" s="39">
        <f>+A3+1</f>
        <v>2</v>
      </c>
      <c r="B4" s="11">
        <v>37468</v>
      </c>
      <c r="C4" s="292">
        <v>1596486.08</v>
      </c>
      <c r="D4" s="292">
        <v>335381.92</v>
      </c>
      <c r="E4" s="292">
        <v>0</v>
      </c>
      <c r="F4" s="293">
        <f>SUM(C4:E4)</f>
        <v>1931868</v>
      </c>
      <c r="G4" s="1"/>
      <c r="H4" s="282">
        <f t="shared" ref="H4:H31" si="2">ROUND(C4*0.4175,2)</f>
        <v>666532.93999999994</v>
      </c>
      <c r="I4" s="282">
        <f t="shared" si="0"/>
        <v>140021.95000000001</v>
      </c>
      <c r="J4" s="282">
        <f t="shared" si="0"/>
        <v>0</v>
      </c>
      <c r="K4" s="293">
        <f t="shared" si="1"/>
        <v>806554.8899999999</v>
      </c>
      <c r="L4" s="1"/>
      <c r="M4" s="1"/>
      <c r="N4" s="1"/>
      <c r="O4" s="1"/>
      <c r="P4" s="1"/>
      <c r="Q4" s="1">
        <v>11</v>
      </c>
      <c r="R4" s="1">
        <v>9</v>
      </c>
      <c r="S4" s="1"/>
      <c r="T4" s="1"/>
      <c r="U4" s="1"/>
      <c r="V4" s="1"/>
      <c r="W4" s="1"/>
      <c r="X4" s="1"/>
    </row>
    <row r="5" spans="1:24" x14ac:dyDescent="0.2">
      <c r="A5" s="39">
        <f t="shared" ref="A5:A24" si="3">+A4+1</f>
        <v>3</v>
      </c>
      <c r="B5" s="11">
        <v>37498</v>
      </c>
      <c r="C5" s="292">
        <v>1848614.24</v>
      </c>
      <c r="D5" s="292">
        <v>388347.73</v>
      </c>
      <c r="E5" s="292">
        <v>0</v>
      </c>
      <c r="F5" s="293">
        <f>SUM(C5:E5)</f>
        <v>2236961.9699999997</v>
      </c>
      <c r="G5" s="1"/>
      <c r="H5" s="282">
        <f t="shared" si="2"/>
        <v>771796.45</v>
      </c>
      <c r="I5" s="282">
        <f t="shared" si="0"/>
        <v>162135.18</v>
      </c>
      <c r="J5" s="282">
        <f t="shared" si="0"/>
        <v>0</v>
      </c>
      <c r="K5" s="293">
        <f t="shared" si="1"/>
        <v>933931.62999999989</v>
      </c>
      <c r="L5" s="1"/>
      <c r="M5" s="1"/>
      <c r="N5" s="1"/>
      <c r="O5" s="1"/>
      <c r="P5" s="1" t="s">
        <v>181</v>
      </c>
      <c r="Q5" s="292">
        <v>13718.2</v>
      </c>
      <c r="R5" s="292">
        <v>12251.27</v>
      </c>
      <c r="S5" s="1"/>
      <c r="T5" s="1"/>
      <c r="U5" s="292">
        <v>261161.66</v>
      </c>
      <c r="V5" s="295">
        <v>-13202.39</v>
      </c>
      <c r="W5" s="1"/>
      <c r="X5" s="1"/>
    </row>
    <row r="6" spans="1:24" x14ac:dyDescent="0.2">
      <c r="A6" s="39">
        <f t="shared" si="3"/>
        <v>4</v>
      </c>
      <c r="B6" s="11">
        <v>37537</v>
      </c>
      <c r="C6" s="292">
        <v>1770701.71</v>
      </c>
      <c r="D6" s="292">
        <v>371980.28</v>
      </c>
      <c r="E6" s="292">
        <v>0</v>
      </c>
      <c r="F6" s="293">
        <f t="shared" ref="F6:F30" si="4">SUM(C6:E6)</f>
        <v>2142681.9900000002</v>
      </c>
      <c r="G6" s="1"/>
      <c r="H6" s="282">
        <f t="shared" si="2"/>
        <v>739267.96</v>
      </c>
      <c r="I6" s="282">
        <f t="shared" si="0"/>
        <v>155301.76999999999</v>
      </c>
      <c r="J6" s="282">
        <f t="shared" si="0"/>
        <v>0</v>
      </c>
      <c r="K6" s="293">
        <f t="shared" si="1"/>
        <v>894569.73</v>
      </c>
      <c r="L6" s="1"/>
      <c r="M6" s="1"/>
      <c r="N6" s="1"/>
      <c r="O6" s="1"/>
      <c r="P6" s="1" t="s">
        <v>168</v>
      </c>
      <c r="Q6" s="292">
        <v>126226.65</v>
      </c>
      <c r="R6" s="292">
        <v>112728.82</v>
      </c>
      <c r="S6" s="1"/>
      <c r="T6" s="1"/>
      <c r="U6" s="292">
        <v>2403052.5699999998</v>
      </c>
      <c r="V6" s="295">
        <v>-121480.43</v>
      </c>
      <c r="W6" s="1"/>
      <c r="X6" s="1"/>
    </row>
    <row r="7" spans="1:24" x14ac:dyDescent="0.2">
      <c r="A7" s="39">
        <f t="shared" si="3"/>
        <v>5</v>
      </c>
      <c r="B7" s="11">
        <v>37619</v>
      </c>
      <c r="C7" s="292">
        <v>0</v>
      </c>
      <c r="D7" s="292">
        <v>874487.74</v>
      </c>
      <c r="E7" s="292">
        <v>0</v>
      </c>
      <c r="F7" s="293">
        <f t="shared" si="4"/>
        <v>874487.74</v>
      </c>
      <c r="G7" s="1"/>
      <c r="H7" s="282">
        <f t="shared" si="2"/>
        <v>0</v>
      </c>
      <c r="I7" s="282">
        <f t="shared" si="0"/>
        <v>365098.63</v>
      </c>
      <c r="J7" s="282">
        <f t="shared" si="0"/>
        <v>0</v>
      </c>
      <c r="K7" s="293">
        <f t="shared" si="1"/>
        <v>365098.63</v>
      </c>
      <c r="L7" s="1"/>
      <c r="M7" s="1"/>
      <c r="N7" s="1"/>
      <c r="O7" s="1"/>
      <c r="P7" s="1" t="s">
        <v>182</v>
      </c>
      <c r="Q7" s="292">
        <v>51825.46</v>
      </c>
      <c r="R7" s="292">
        <v>46283.6</v>
      </c>
      <c r="S7" s="1"/>
      <c r="T7" s="1"/>
      <c r="U7" s="292">
        <v>986632.33</v>
      </c>
      <c r="V7" s="295">
        <v>-47876.78</v>
      </c>
      <c r="W7" s="1"/>
      <c r="X7" s="1"/>
    </row>
    <row r="8" spans="1:24" x14ac:dyDescent="0.2">
      <c r="A8" s="39">
        <f t="shared" si="3"/>
        <v>6</v>
      </c>
      <c r="B8" s="11">
        <v>37673</v>
      </c>
      <c r="C8" s="292">
        <v>-4456459.05</v>
      </c>
      <c r="D8" s="292">
        <v>-936190.94</v>
      </c>
      <c r="E8" s="292">
        <v>0</v>
      </c>
      <c r="F8" s="293">
        <f t="shared" si="4"/>
        <v>-5392649.9900000002</v>
      </c>
      <c r="G8" s="1"/>
      <c r="H8" s="282">
        <f t="shared" si="2"/>
        <v>-1860571.65</v>
      </c>
      <c r="I8" s="282">
        <f t="shared" si="0"/>
        <v>-390859.72</v>
      </c>
      <c r="J8" s="282">
        <f t="shared" si="0"/>
        <v>0</v>
      </c>
      <c r="K8" s="293">
        <f t="shared" si="1"/>
        <v>-2251431.37</v>
      </c>
      <c r="L8" s="1"/>
      <c r="M8" s="1"/>
      <c r="N8" s="1"/>
      <c r="O8" s="1"/>
      <c r="P8" s="1" t="s">
        <v>183</v>
      </c>
      <c r="Q8" s="292">
        <v>28834.34</v>
      </c>
      <c r="R8" s="292">
        <v>25750.99</v>
      </c>
      <c r="S8" s="1"/>
      <c r="T8" s="1"/>
      <c r="U8" s="295">
        <v>548936.64</v>
      </c>
      <c r="V8" s="295">
        <v>-27750.15</v>
      </c>
      <c r="W8" s="1"/>
      <c r="X8" s="1"/>
    </row>
    <row r="9" spans="1:24" x14ac:dyDescent="0.2">
      <c r="A9" s="39">
        <f t="shared" si="3"/>
        <v>7</v>
      </c>
      <c r="B9" s="11">
        <v>37768</v>
      </c>
      <c r="C9" s="292">
        <v>-172067.84</v>
      </c>
      <c r="D9" s="292">
        <v>-36147.17</v>
      </c>
      <c r="E9" s="292">
        <v>0</v>
      </c>
      <c r="F9" s="293">
        <f t="shared" si="4"/>
        <v>-208215.01</v>
      </c>
      <c r="G9" s="1"/>
      <c r="H9" s="282">
        <f t="shared" si="2"/>
        <v>-71838.320000000007</v>
      </c>
      <c r="I9" s="282">
        <f t="shared" si="0"/>
        <v>-15091.44</v>
      </c>
      <c r="J9" s="282">
        <f t="shared" si="0"/>
        <v>0</v>
      </c>
      <c r="K9" s="293">
        <f t="shared" si="1"/>
        <v>-86929.760000000009</v>
      </c>
      <c r="L9" s="1"/>
      <c r="M9" s="1"/>
      <c r="N9" s="1"/>
      <c r="O9" s="1"/>
      <c r="P9" s="1" t="s">
        <v>184</v>
      </c>
      <c r="Q9" s="292">
        <v>86503.02</v>
      </c>
      <c r="R9" s="292">
        <v>77252.97</v>
      </c>
      <c r="S9" s="1"/>
      <c r="T9" s="1"/>
      <c r="U9" s="295">
        <v>1646809.96</v>
      </c>
      <c r="V9" s="295">
        <v>-83250.44</v>
      </c>
      <c r="W9" s="1"/>
      <c r="X9" s="1"/>
    </row>
    <row r="10" spans="1:24" x14ac:dyDescent="0.2">
      <c r="A10" s="39">
        <f t="shared" si="3"/>
        <v>8</v>
      </c>
      <c r="B10" s="11">
        <v>37824</v>
      </c>
      <c r="C10" s="292">
        <v>-12261.84</v>
      </c>
      <c r="D10" s="292">
        <v>-2575.91</v>
      </c>
      <c r="E10" s="292">
        <v>0</v>
      </c>
      <c r="F10" s="293">
        <f t="shared" si="4"/>
        <v>-14837.75</v>
      </c>
      <c r="G10" s="1"/>
      <c r="H10" s="282">
        <f t="shared" si="2"/>
        <v>-5119.32</v>
      </c>
      <c r="I10" s="282">
        <f t="shared" si="0"/>
        <v>-1075.44</v>
      </c>
      <c r="J10" s="282">
        <f t="shared" si="0"/>
        <v>0</v>
      </c>
      <c r="K10" s="293">
        <f t="shared" si="1"/>
        <v>-6194.76</v>
      </c>
      <c r="L10" s="1"/>
      <c r="M10" s="1"/>
      <c r="N10" s="1"/>
      <c r="O10" s="1"/>
      <c r="P10" s="1" t="s">
        <v>185</v>
      </c>
      <c r="Q10" s="292">
        <v>261623.84</v>
      </c>
      <c r="R10" s="292">
        <v>233647.55</v>
      </c>
      <c r="S10" s="1"/>
      <c r="T10" s="1"/>
      <c r="U10" s="295">
        <v>4980690.16</v>
      </c>
      <c r="V10" s="295">
        <v>-251786.57</v>
      </c>
      <c r="W10" s="1"/>
      <c r="X10" s="1"/>
    </row>
    <row r="11" spans="1:24" x14ac:dyDescent="0.2">
      <c r="A11" s="39" t="s">
        <v>5</v>
      </c>
      <c r="B11" s="11">
        <v>37867</v>
      </c>
      <c r="C11" s="292">
        <v>727734.95</v>
      </c>
      <c r="D11" s="292">
        <v>124568.05</v>
      </c>
      <c r="E11" s="292">
        <v>0</v>
      </c>
      <c r="F11" s="293">
        <f t="shared" si="4"/>
        <v>852303</v>
      </c>
      <c r="G11" s="1"/>
      <c r="H11" s="282">
        <f t="shared" si="2"/>
        <v>303829.34000000003</v>
      </c>
      <c r="I11" s="282">
        <f t="shared" si="0"/>
        <v>52007.16</v>
      </c>
      <c r="J11" s="282">
        <f t="shared" si="0"/>
        <v>0</v>
      </c>
      <c r="K11" s="293">
        <f t="shared" si="1"/>
        <v>355836.5</v>
      </c>
      <c r="L11" s="1"/>
      <c r="M11" s="1"/>
      <c r="N11" s="1"/>
      <c r="O11" s="1"/>
      <c r="P11" s="1"/>
      <c r="Q11" s="292"/>
      <c r="R11" s="292"/>
      <c r="S11" s="1"/>
      <c r="T11" s="1"/>
      <c r="U11" s="1"/>
      <c r="V11" s="1"/>
      <c r="W11" s="1"/>
      <c r="X11" s="1"/>
    </row>
    <row r="12" spans="1:24" x14ac:dyDescent="0.2">
      <c r="A12" s="39" t="e">
        <f t="shared" si="3"/>
        <v>#VALUE!</v>
      </c>
      <c r="B12" s="11">
        <v>38343</v>
      </c>
      <c r="C12" s="292">
        <v>1652235.14</v>
      </c>
      <c r="D12" s="292">
        <v>282816.84999999998</v>
      </c>
      <c r="E12" s="292">
        <v>0</v>
      </c>
      <c r="F12" s="293">
        <f t="shared" si="4"/>
        <v>1935051.9899999998</v>
      </c>
      <c r="G12" s="1"/>
      <c r="H12" s="282">
        <f t="shared" si="2"/>
        <v>689808.17</v>
      </c>
      <c r="I12" s="282">
        <f t="shared" si="0"/>
        <v>118076.03</v>
      </c>
      <c r="J12" s="282">
        <f t="shared" si="0"/>
        <v>0</v>
      </c>
      <c r="K12" s="293">
        <f t="shared" si="1"/>
        <v>807884.20000000007</v>
      </c>
      <c r="L12" s="1"/>
      <c r="M12" s="1"/>
      <c r="N12" s="1"/>
      <c r="O12" s="1"/>
      <c r="P12" s="1"/>
      <c r="Q12" s="292">
        <f>SUM(Q5:Q10)*Q4</f>
        <v>6256046.6100000003</v>
      </c>
      <c r="R12" s="292">
        <f>SUM(R5:R10)*R4</f>
        <v>4571236.8</v>
      </c>
      <c r="S12" s="282">
        <f>SUM(Q12:R12)</f>
        <v>10827283.41</v>
      </c>
      <c r="T12" s="282"/>
      <c r="U12" s="282">
        <f>SUM(U5:U10)</f>
        <v>10827283.32</v>
      </c>
      <c r="V12" s="282">
        <f>SUM(V5:V10)</f>
        <v>-545346.76</v>
      </c>
      <c r="W12" s="1"/>
      <c r="X12" s="1"/>
    </row>
    <row r="13" spans="1:24" x14ac:dyDescent="0.2">
      <c r="A13" s="39" t="e">
        <f t="shared" si="3"/>
        <v>#VALUE!</v>
      </c>
      <c r="B13" s="11">
        <v>38413</v>
      </c>
      <c r="C13" s="292">
        <v>4528198.18</v>
      </c>
      <c r="D13" s="292">
        <v>1233116.82</v>
      </c>
      <c r="E13" s="292">
        <v>0</v>
      </c>
      <c r="F13" s="293">
        <f t="shared" si="4"/>
        <v>5761315</v>
      </c>
      <c r="G13" s="1"/>
      <c r="H13" s="282">
        <f t="shared" si="2"/>
        <v>1890522.74</v>
      </c>
      <c r="I13" s="282">
        <f t="shared" si="0"/>
        <v>514826.27</v>
      </c>
      <c r="J13" s="282">
        <f t="shared" si="0"/>
        <v>0</v>
      </c>
      <c r="K13" s="293">
        <f t="shared" si="1"/>
        <v>2405349.0099999998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">
      <c r="A14" s="39" t="e">
        <f t="shared" si="3"/>
        <v>#VALUE!</v>
      </c>
      <c r="B14" s="11">
        <v>38435</v>
      </c>
      <c r="C14" s="292">
        <v>303137.69</v>
      </c>
      <c r="D14" s="292">
        <v>82550.31</v>
      </c>
      <c r="E14" s="292">
        <v>0</v>
      </c>
      <c r="F14" s="293">
        <f t="shared" si="4"/>
        <v>385688</v>
      </c>
      <c r="G14" s="1"/>
      <c r="H14" s="282">
        <f t="shared" si="2"/>
        <v>126559.99</v>
      </c>
      <c r="I14" s="282">
        <f t="shared" si="0"/>
        <v>34464.75</v>
      </c>
      <c r="J14" s="282">
        <f t="shared" si="0"/>
        <v>0</v>
      </c>
      <c r="K14" s="293">
        <f t="shared" si="1"/>
        <v>161024.74</v>
      </c>
      <c r="L14" s="1"/>
      <c r="M14" s="1"/>
      <c r="N14" s="1"/>
      <c r="O14" s="1"/>
      <c r="P14" s="1">
        <v>1</v>
      </c>
      <c r="Q14" s="292">
        <f>Q12/Q4</f>
        <v>568731.51</v>
      </c>
      <c r="R14" s="1"/>
      <c r="S14" s="1"/>
      <c r="T14" s="1"/>
      <c r="U14" s="1"/>
      <c r="V14" s="1"/>
      <c r="W14" s="1"/>
      <c r="X14" s="1"/>
    </row>
    <row r="15" spans="1:24" x14ac:dyDescent="0.2">
      <c r="A15" s="39" t="e">
        <f t="shared" si="3"/>
        <v>#VALUE!</v>
      </c>
      <c r="B15" s="11">
        <v>38447</v>
      </c>
      <c r="C15" s="292">
        <v>303137.69</v>
      </c>
      <c r="D15" s="292">
        <v>82550.31</v>
      </c>
      <c r="E15" s="292">
        <v>0</v>
      </c>
      <c r="F15" s="293">
        <f t="shared" si="4"/>
        <v>385688</v>
      </c>
      <c r="G15" s="1"/>
      <c r="H15" s="282">
        <f t="shared" si="2"/>
        <v>126559.99</v>
      </c>
      <c r="I15" s="282">
        <f t="shared" si="0"/>
        <v>34464.75</v>
      </c>
      <c r="J15" s="282">
        <f t="shared" si="0"/>
        <v>0</v>
      </c>
      <c r="K15" s="293">
        <f t="shared" si="1"/>
        <v>161024.74</v>
      </c>
      <c r="L15" s="1"/>
      <c r="M15" s="1"/>
      <c r="N15" s="1"/>
      <c r="O15" s="1"/>
      <c r="P15" s="1">
        <v>2</v>
      </c>
      <c r="Q15" s="292">
        <f>Q14</f>
        <v>568731.51</v>
      </c>
      <c r="R15" s="1"/>
      <c r="S15" s="1"/>
      <c r="T15" s="1"/>
      <c r="U15" s="1"/>
      <c r="V15" s="282"/>
      <c r="W15" s="1"/>
      <c r="X15" s="1"/>
    </row>
    <row r="16" spans="1:24" x14ac:dyDescent="0.2">
      <c r="A16" s="39" t="e">
        <f t="shared" si="3"/>
        <v>#VALUE!</v>
      </c>
      <c r="B16" s="11">
        <v>38470</v>
      </c>
      <c r="C16" s="292">
        <v>1174675.83</v>
      </c>
      <c r="D16" s="292">
        <v>319887.18</v>
      </c>
      <c r="E16" s="292">
        <v>0</v>
      </c>
      <c r="F16" s="293">
        <f t="shared" si="4"/>
        <v>1494563.01</v>
      </c>
      <c r="G16" s="1"/>
      <c r="H16" s="282">
        <f t="shared" si="2"/>
        <v>490427.16</v>
      </c>
      <c r="I16" s="282">
        <f t="shared" si="0"/>
        <v>133552.9</v>
      </c>
      <c r="J16" s="282">
        <f t="shared" si="0"/>
        <v>0</v>
      </c>
      <c r="K16" s="293">
        <f t="shared" si="1"/>
        <v>623980.05999999994</v>
      </c>
      <c r="L16" s="1"/>
      <c r="M16" s="1"/>
      <c r="N16" s="1"/>
      <c r="O16" s="1"/>
      <c r="P16" s="1">
        <v>3</v>
      </c>
      <c r="Q16" s="292">
        <f t="shared" ref="Q16:Q24" si="5">Q15</f>
        <v>568731.51</v>
      </c>
      <c r="R16" s="1"/>
      <c r="S16" s="1"/>
      <c r="T16" s="1"/>
      <c r="U16" s="1"/>
      <c r="V16" s="1"/>
      <c r="W16" s="1"/>
      <c r="X16" s="1"/>
    </row>
    <row r="17" spans="1:24" x14ac:dyDescent="0.2">
      <c r="A17" s="39" t="e">
        <f t="shared" si="3"/>
        <v>#VALUE!</v>
      </c>
      <c r="B17" s="11">
        <v>38485</v>
      </c>
      <c r="C17" s="292">
        <v>1174675.83</v>
      </c>
      <c r="D17" s="292">
        <v>319887.18</v>
      </c>
      <c r="E17" s="292">
        <v>0</v>
      </c>
      <c r="F17" s="293">
        <f t="shared" si="4"/>
        <v>1494563.01</v>
      </c>
      <c r="G17" s="1"/>
      <c r="H17" s="282">
        <f t="shared" si="2"/>
        <v>490427.16</v>
      </c>
      <c r="I17" s="282">
        <f t="shared" si="0"/>
        <v>133552.9</v>
      </c>
      <c r="J17" s="282">
        <f t="shared" si="0"/>
        <v>0</v>
      </c>
      <c r="K17" s="293">
        <f t="shared" si="1"/>
        <v>623980.05999999994</v>
      </c>
      <c r="L17" s="1"/>
      <c r="M17" s="1"/>
      <c r="N17" s="1"/>
      <c r="O17" s="1"/>
      <c r="P17" s="1">
        <v>4</v>
      </c>
      <c r="Q17" s="292">
        <f t="shared" si="5"/>
        <v>568731.51</v>
      </c>
      <c r="R17" s="1"/>
      <c r="S17" s="1"/>
      <c r="T17" s="1"/>
      <c r="U17" s="1"/>
      <c r="V17" s="1"/>
      <c r="W17" s="1"/>
      <c r="X17" s="1"/>
    </row>
    <row r="18" spans="1:24" x14ac:dyDescent="0.2">
      <c r="A18" s="39" t="e">
        <f t="shared" si="3"/>
        <v>#VALUE!</v>
      </c>
      <c r="B18" s="11">
        <v>38498</v>
      </c>
      <c r="C18" s="292">
        <v>576058.91</v>
      </c>
      <c r="D18" s="292">
        <v>156872.1</v>
      </c>
      <c r="E18" s="292">
        <v>0</v>
      </c>
      <c r="F18" s="293">
        <f t="shared" si="4"/>
        <v>732931.01</v>
      </c>
      <c r="G18" s="1"/>
      <c r="H18" s="282">
        <f t="shared" si="2"/>
        <v>240504.59</v>
      </c>
      <c r="I18" s="282">
        <f t="shared" si="0"/>
        <v>65494.1</v>
      </c>
      <c r="J18" s="282">
        <f t="shared" si="0"/>
        <v>0</v>
      </c>
      <c r="K18" s="293">
        <f t="shared" si="1"/>
        <v>305998.69</v>
      </c>
      <c r="L18" s="1"/>
      <c r="M18" s="1"/>
      <c r="N18" s="1"/>
      <c r="O18" s="1"/>
      <c r="P18" s="1">
        <v>5</v>
      </c>
      <c r="Q18" s="292">
        <f t="shared" si="5"/>
        <v>568731.51</v>
      </c>
      <c r="R18" s="1"/>
      <c r="S18" s="1"/>
      <c r="T18" s="1"/>
      <c r="U18" s="1"/>
      <c r="V18" s="1"/>
      <c r="W18" s="1"/>
      <c r="X18" s="1"/>
    </row>
    <row r="19" spans="1:24" x14ac:dyDescent="0.2">
      <c r="A19" s="39" t="e">
        <f t="shared" si="3"/>
        <v>#VALUE!</v>
      </c>
      <c r="B19" s="11">
        <v>38504</v>
      </c>
      <c r="C19" s="292">
        <v>576058.91</v>
      </c>
      <c r="D19" s="292">
        <v>156872.1</v>
      </c>
      <c r="E19" s="292">
        <v>0</v>
      </c>
      <c r="F19" s="293">
        <f t="shared" si="4"/>
        <v>732931.01</v>
      </c>
      <c r="G19" s="1"/>
      <c r="H19" s="282">
        <f t="shared" si="2"/>
        <v>240504.59</v>
      </c>
      <c r="I19" s="282">
        <f t="shared" si="0"/>
        <v>65494.1</v>
      </c>
      <c r="J19" s="282">
        <f t="shared" si="0"/>
        <v>0</v>
      </c>
      <c r="K19" s="293">
        <f t="shared" si="1"/>
        <v>305998.69</v>
      </c>
      <c r="L19" s="1"/>
      <c r="M19" s="1"/>
      <c r="N19" s="1"/>
      <c r="O19" s="1"/>
      <c r="P19" s="1">
        <v>6</v>
      </c>
      <c r="Q19" s="292">
        <f t="shared" si="5"/>
        <v>568731.51</v>
      </c>
      <c r="R19" s="1"/>
      <c r="S19" s="1"/>
      <c r="T19" s="1"/>
      <c r="U19" s="1"/>
      <c r="V19" s="1"/>
      <c r="W19" s="1"/>
      <c r="X19" s="1"/>
    </row>
    <row r="20" spans="1:24" x14ac:dyDescent="0.2">
      <c r="A20" s="39" t="e">
        <f t="shared" si="3"/>
        <v>#VALUE!</v>
      </c>
      <c r="B20" s="11">
        <v>38520</v>
      </c>
      <c r="C20" s="292">
        <v>-1750734.73</v>
      </c>
      <c r="D20" s="292">
        <v>-476759.27</v>
      </c>
      <c r="E20" s="292">
        <v>0</v>
      </c>
      <c r="F20" s="293">
        <f t="shared" si="4"/>
        <v>-2227494</v>
      </c>
      <c r="G20" s="1"/>
      <c r="H20" s="282">
        <f t="shared" si="2"/>
        <v>-730931.75</v>
      </c>
      <c r="I20" s="282">
        <f t="shared" si="0"/>
        <v>-199047</v>
      </c>
      <c r="J20" s="282">
        <f t="shared" si="0"/>
        <v>0</v>
      </c>
      <c r="K20" s="293">
        <f t="shared" si="1"/>
        <v>-929978.75</v>
      </c>
      <c r="L20" s="1"/>
      <c r="M20" s="1"/>
      <c r="N20" s="1"/>
      <c r="O20" s="1"/>
      <c r="P20" s="1">
        <v>7</v>
      </c>
      <c r="Q20" s="292">
        <f t="shared" si="5"/>
        <v>568731.51</v>
      </c>
      <c r="R20" s="1"/>
      <c r="S20" s="1"/>
      <c r="T20" s="1"/>
      <c r="U20" s="1"/>
      <c r="V20" s="1"/>
      <c r="W20" s="1"/>
      <c r="X20" s="1"/>
    </row>
    <row r="21" spans="1:24" x14ac:dyDescent="0.2">
      <c r="A21" s="39" t="e">
        <f t="shared" si="3"/>
        <v>#VALUE!</v>
      </c>
      <c r="B21" s="11">
        <v>38539</v>
      </c>
      <c r="C21" s="292">
        <v>380732.19</v>
      </c>
      <c r="D21" s="292">
        <v>103680.82</v>
      </c>
      <c r="E21" s="292">
        <v>0</v>
      </c>
      <c r="F21" s="293">
        <f t="shared" si="4"/>
        <v>484413.01</v>
      </c>
      <c r="G21" s="1"/>
      <c r="H21" s="282">
        <f t="shared" si="2"/>
        <v>158955.69</v>
      </c>
      <c r="I21" s="282">
        <f t="shared" si="0"/>
        <v>43286.74</v>
      </c>
      <c r="J21" s="282">
        <f t="shared" si="0"/>
        <v>0</v>
      </c>
      <c r="K21" s="293">
        <f t="shared" si="1"/>
        <v>202242.43</v>
      </c>
      <c r="L21" s="1"/>
      <c r="M21" s="296"/>
      <c r="N21" s="296"/>
      <c r="O21" s="296"/>
      <c r="P21" s="1">
        <v>8</v>
      </c>
      <c r="Q21" s="292">
        <f t="shared" si="5"/>
        <v>568731.51</v>
      </c>
      <c r="R21" s="1"/>
      <c r="S21" s="1"/>
      <c r="T21" s="1"/>
      <c r="U21" s="1"/>
      <c r="V21" s="1"/>
      <c r="W21" s="1"/>
      <c r="X21" s="1"/>
    </row>
    <row r="22" spans="1:24" x14ac:dyDescent="0.2">
      <c r="A22" s="39" t="e">
        <f t="shared" si="3"/>
        <v>#VALUE!</v>
      </c>
      <c r="B22" s="11">
        <v>38562</v>
      </c>
      <c r="C22" s="292">
        <v>0</v>
      </c>
      <c r="D22" s="292">
        <v>1139884.8999999999</v>
      </c>
      <c r="E22" s="292">
        <v>0</v>
      </c>
      <c r="F22" s="293">
        <f t="shared" si="4"/>
        <v>1139884.8999999999</v>
      </c>
      <c r="G22" s="1"/>
      <c r="H22" s="282">
        <f t="shared" si="2"/>
        <v>0</v>
      </c>
      <c r="I22" s="282">
        <f t="shared" si="0"/>
        <v>475901.95</v>
      </c>
      <c r="J22" s="282">
        <f t="shared" si="0"/>
        <v>0</v>
      </c>
      <c r="K22" s="293">
        <f t="shared" si="1"/>
        <v>475901.95</v>
      </c>
      <c r="L22" s="1"/>
      <c r="M22" s="296"/>
      <c r="N22" s="296"/>
      <c r="O22" s="296"/>
      <c r="P22" s="1">
        <v>9</v>
      </c>
      <c r="Q22" s="292">
        <f t="shared" si="5"/>
        <v>568731.51</v>
      </c>
      <c r="R22" s="1"/>
      <c r="S22" s="1"/>
      <c r="T22" s="1"/>
      <c r="U22" s="1"/>
      <c r="V22" s="1"/>
      <c r="W22" s="1"/>
      <c r="X22" s="1"/>
    </row>
    <row r="23" spans="1:24" x14ac:dyDescent="0.2">
      <c r="A23" s="39" t="e">
        <f t="shared" si="3"/>
        <v>#VALUE!</v>
      </c>
      <c r="B23" s="11">
        <v>38565</v>
      </c>
      <c r="C23" s="292">
        <v>278059.08</v>
      </c>
      <c r="D23" s="292">
        <v>75720.92</v>
      </c>
      <c r="E23" s="292">
        <v>0</v>
      </c>
      <c r="F23" s="293">
        <f t="shared" si="4"/>
        <v>353780</v>
      </c>
      <c r="G23" s="1"/>
      <c r="H23" s="282">
        <f t="shared" si="2"/>
        <v>116089.67</v>
      </c>
      <c r="I23" s="282">
        <f t="shared" si="0"/>
        <v>31613.48</v>
      </c>
      <c r="J23" s="282">
        <f t="shared" si="0"/>
        <v>0</v>
      </c>
      <c r="K23" s="293">
        <f t="shared" si="1"/>
        <v>147703.15</v>
      </c>
      <c r="L23" s="1"/>
      <c r="M23" s="296"/>
      <c r="N23" s="296"/>
      <c r="O23" s="296"/>
      <c r="P23" s="1">
        <v>10</v>
      </c>
      <c r="Q23" s="292">
        <f t="shared" si="5"/>
        <v>568731.51</v>
      </c>
      <c r="R23" s="1"/>
      <c r="S23" s="1"/>
      <c r="T23" s="1"/>
      <c r="U23" s="1"/>
      <c r="V23" s="1"/>
      <c r="W23" s="1"/>
      <c r="X23" s="1"/>
    </row>
    <row r="24" spans="1:24" x14ac:dyDescent="0.2">
      <c r="A24" s="39" t="e">
        <f t="shared" si="3"/>
        <v>#VALUE!</v>
      </c>
      <c r="B24" s="11">
        <v>38603</v>
      </c>
      <c r="C24" s="292">
        <v>280427.98</v>
      </c>
      <c r="D24" s="292">
        <v>76366.009999999995</v>
      </c>
      <c r="E24" s="292">
        <v>0</v>
      </c>
      <c r="F24" s="293">
        <f t="shared" si="4"/>
        <v>356793.99</v>
      </c>
      <c r="G24" s="1"/>
      <c r="H24" s="282">
        <f t="shared" si="2"/>
        <v>117078.68</v>
      </c>
      <c r="I24" s="282">
        <f t="shared" si="0"/>
        <v>31882.81</v>
      </c>
      <c r="J24" s="282">
        <f t="shared" si="0"/>
        <v>0</v>
      </c>
      <c r="K24" s="293">
        <f t="shared" si="1"/>
        <v>148961.49</v>
      </c>
      <c r="L24" s="1"/>
      <c r="M24" s="296"/>
      <c r="N24" s="296"/>
      <c r="O24" s="296"/>
      <c r="P24" s="1">
        <v>11</v>
      </c>
      <c r="Q24" s="292">
        <f t="shared" si="5"/>
        <v>568731.51</v>
      </c>
      <c r="R24" s="1"/>
      <c r="S24" s="1"/>
      <c r="T24" s="1"/>
      <c r="U24" s="1"/>
      <c r="V24" s="1"/>
      <c r="W24" s="1"/>
      <c r="X24" s="1"/>
    </row>
    <row r="25" spans="1:24" x14ac:dyDescent="0.2">
      <c r="A25" s="39">
        <v>23</v>
      </c>
      <c r="B25" s="11">
        <v>38630</v>
      </c>
      <c r="C25" s="292">
        <v>4835453.54</v>
      </c>
      <c r="D25" s="292">
        <v>1316788.46</v>
      </c>
      <c r="E25" s="292">
        <v>0</v>
      </c>
      <c r="F25" s="293">
        <f>SUM(C25:E25)</f>
        <v>6152242</v>
      </c>
      <c r="G25" s="1"/>
      <c r="H25" s="282">
        <f t="shared" si="2"/>
        <v>2018801.85</v>
      </c>
      <c r="I25" s="282">
        <f t="shared" si="0"/>
        <v>549759.18000000005</v>
      </c>
      <c r="J25" s="282">
        <f t="shared" si="0"/>
        <v>0</v>
      </c>
      <c r="K25" s="293">
        <f>SUM(H25:J25)</f>
        <v>2568561.0300000003</v>
      </c>
      <c r="L25" s="1"/>
      <c r="M25" s="296"/>
      <c r="N25" s="296"/>
      <c r="O25" s="296"/>
      <c r="P25" s="1">
        <v>12</v>
      </c>
      <c r="Q25" s="292">
        <f>R12/R4</f>
        <v>507915.19999999995</v>
      </c>
      <c r="R25" s="1"/>
      <c r="S25" s="1"/>
      <c r="T25" s="1"/>
      <c r="U25" s="1"/>
      <c r="V25" s="1"/>
      <c r="W25" s="1"/>
      <c r="X25" s="1"/>
    </row>
    <row r="26" spans="1:24" x14ac:dyDescent="0.2">
      <c r="A26" s="39">
        <v>24</v>
      </c>
      <c r="B26" s="11">
        <v>38657</v>
      </c>
      <c r="C26" s="292">
        <v>7924624.0599999996</v>
      </c>
      <c r="D26" s="292">
        <v>2158029.94</v>
      </c>
      <c r="E26" s="292">
        <v>0</v>
      </c>
      <c r="F26" s="293">
        <f>SUM(C26:E26)</f>
        <v>10082654</v>
      </c>
      <c r="G26" s="1"/>
      <c r="H26" s="282">
        <f t="shared" si="2"/>
        <v>3308530.55</v>
      </c>
      <c r="I26" s="282">
        <f t="shared" si="0"/>
        <v>900977.5</v>
      </c>
      <c r="J26" s="282">
        <f t="shared" si="0"/>
        <v>0</v>
      </c>
      <c r="K26" s="293">
        <f>SUM(H26:J26)</f>
        <v>4209508.05</v>
      </c>
      <c r="L26" s="1"/>
      <c r="M26" s="296"/>
      <c r="N26" s="296"/>
      <c r="O26" s="296"/>
      <c r="P26" s="1">
        <v>13</v>
      </c>
      <c r="Q26" s="292">
        <f t="shared" ref="Q26:Q33" si="6">Q25</f>
        <v>507915.19999999995</v>
      </c>
      <c r="R26" s="1"/>
      <c r="S26" s="1"/>
      <c r="T26" s="1"/>
      <c r="U26" s="1"/>
      <c r="V26" s="1"/>
      <c r="W26" s="1"/>
      <c r="X26" s="1"/>
    </row>
    <row r="27" spans="1:24" x14ac:dyDescent="0.2">
      <c r="A27" s="39">
        <v>25</v>
      </c>
      <c r="B27" s="11">
        <v>38695</v>
      </c>
      <c r="C27" s="292">
        <v>824059.5</v>
      </c>
      <c r="D27" s="292">
        <v>224407.5</v>
      </c>
      <c r="E27" s="292">
        <v>0</v>
      </c>
      <c r="F27" s="293">
        <f>SUM(C27:E27)</f>
        <v>1048467</v>
      </c>
      <c r="G27" s="1"/>
      <c r="H27" s="282">
        <f t="shared" si="2"/>
        <v>344044.84</v>
      </c>
      <c r="I27" s="282">
        <f t="shared" si="0"/>
        <v>93690.13</v>
      </c>
      <c r="J27" s="282">
        <f t="shared" si="0"/>
        <v>0</v>
      </c>
      <c r="K27" s="293">
        <f>SUM(H27:J27)</f>
        <v>437734.97000000003</v>
      </c>
      <c r="L27" s="1"/>
      <c r="M27" s="296"/>
      <c r="N27" s="296"/>
      <c r="O27" s="296"/>
      <c r="P27" s="1">
        <v>14</v>
      </c>
      <c r="Q27" s="292">
        <f t="shared" si="6"/>
        <v>507915.19999999995</v>
      </c>
      <c r="R27" s="1"/>
      <c r="S27" s="1"/>
      <c r="T27" s="1"/>
      <c r="U27" s="1"/>
      <c r="V27" s="1"/>
      <c r="W27" s="1"/>
      <c r="X27" s="1"/>
    </row>
    <row r="28" spans="1:24" x14ac:dyDescent="0.2">
      <c r="A28" s="39">
        <v>26</v>
      </c>
      <c r="B28" s="11">
        <v>38716</v>
      </c>
      <c r="C28" s="292">
        <v>278111.74</v>
      </c>
      <c r="D28" s="292">
        <v>75735.259999999995</v>
      </c>
      <c r="E28" s="292">
        <v>0</v>
      </c>
      <c r="F28" s="293">
        <f>SUM(C28:E28)</f>
        <v>353847</v>
      </c>
      <c r="G28" s="1"/>
      <c r="H28" s="282">
        <f t="shared" si="2"/>
        <v>116111.65</v>
      </c>
      <c r="I28" s="282">
        <f t="shared" si="0"/>
        <v>31619.47</v>
      </c>
      <c r="J28" s="282">
        <f t="shared" si="0"/>
        <v>0</v>
      </c>
      <c r="K28" s="293">
        <f>SUM(H28:J28)</f>
        <v>147731.12</v>
      </c>
      <c r="L28" s="1"/>
      <c r="M28" s="296"/>
      <c r="N28" s="296"/>
      <c r="O28" s="296"/>
      <c r="P28" s="1">
        <v>15</v>
      </c>
      <c r="Q28" s="292">
        <f t="shared" si="6"/>
        <v>507915.19999999995</v>
      </c>
      <c r="R28" s="1"/>
      <c r="S28" s="1"/>
      <c r="T28" s="1"/>
      <c r="U28" s="1"/>
      <c r="V28" s="1"/>
      <c r="W28" s="1"/>
      <c r="X28" s="1"/>
    </row>
    <row r="29" spans="1:24" x14ac:dyDescent="0.2">
      <c r="A29" s="39">
        <v>27</v>
      </c>
      <c r="B29" s="11">
        <v>38730</v>
      </c>
      <c r="C29" s="292">
        <v>1039721.52</v>
      </c>
      <c r="D29" s="292">
        <v>283136.48</v>
      </c>
      <c r="E29" s="292">
        <v>0</v>
      </c>
      <c r="F29" s="293">
        <f>SUM(C29:E29)</f>
        <v>1322858</v>
      </c>
      <c r="G29" s="1"/>
      <c r="H29" s="282">
        <f t="shared" si="2"/>
        <v>434083.73</v>
      </c>
      <c r="I29" s="282">
        <f t="shared" si="0"/>
        <v>118209.48</v>
      </c>
      <c r="J29" s="282">
        <f t="shared" si="0"/>
        <v>0</v>
      </c>
      <c r="K29" s="293">
        <f>SUM(H29:J29)</f>
        <v>552293.21</v>
      </c>
      <c r="L29" s="1"/>
      <c r="M29" s="1"/>
      <c r="N29" s="1"/>
      <c r="O29" s="1"/>
      <c r="P29" s="1">
        <v>16</v>
      </c>
      <c r="Q29" s="292">
        <f t="shared" si="6"/>
        <v>507915.19999999995</v>
      </c>
      <c r="R29" s="1"/>
      <c r="S29" s="1"/>
      <c r="T29" s="1"/>
      <c r="U29" s="1"/>
      <c r="V29" s="1"/>
      <c r="W29" s="1"/>
      <c r="X29" s="1"/>
    </row>
    <row r="30" spans="1:24" x14ac:dyDescent="0.2">
      <c r="A30" s="39">
        <v>28</v>
      </c>
      <c r="B30" s="14">
        <v>38775</v>
      </c>
      <c r="C30" s="297">
        <f>260886.49</f>
        <v>260886.49</v>
      </c>
      <c r="D30" s="297">
        <v>71044.479999999996</v>
      </c>
      <c r="E30" s="297">
        <v>382230</v>
      </c>
      <c r="F30" s="297">
        <f t="shared" si="4"/>
        <v>714160.97</v>
      </c>
      <c r="G30" s="1"/>
      <c r="H30" s="282">
        <f t="shared" si="2"/>
        <v>108920.11</v>
      </c>
      <c r="I30" s="282">
        <f t="shared" si="0"/>
        <v>29661.07</v>
      </c>
      <c r="J30" s="282">
        <f t="shared" si="0"/>
        <v>159581.03</v>
      </c>
      <c r="K30" s="293">
        <f t="shared" si="1"/>
        <v>298162.20999999996</v>
      </c>
      <c r="L30" s="1"/>
      <c r="M30" s="1"/>
      <c r="N30" s="282">
        <f>N32/0.4175</f>
        <v>0</v>
      </c>
      <c r="O30" s="1"/>
      <c r="P30" s="1">
        <v>17</v>
      </c>
      <c r="Q30" s="292">
        <f t="shared" si="6"/>
        <v>507915.19999999995</v>
      </c>
      <c r="R30" s="1"/>
      <c r="S30" s="1"/>
      <c r="T30" s="1"/>
      <c r="U30" s="1"/>
      <c r="V30" s="1"/>
      <c r="W30" s="1"/>
      <c r="X30" s="1"/>
    </row>
    <row r="31" spans="1:24" x14ac:dyDescent="0.2">
      <c r="A31" s="39">
        <v>29</v>
      </c>
      <c r="B31" s="18"/>
      <c r="C31" s="293"/>
      <c r="D31" s="293"/>
      <c r="E31" s="293"/>
      <c r="F31" s="293"/>
      <c r="G31" s="1"/>
      <c r="H31" s="282">
        <f t="shared" si="2"/>
        <v>0</v>
      </c>
      <c r="I31" s="282"/>
      <c r="J31" s="282"/>
      <c r="K31" s="293"/>
      <c r="L31" s="1"/>
      <c r="M31" s="1"/>
      <c r="N31" s="282"/>
      <c r="O31" s="1"/>
      <c r="P31" s="1">
        <v>18</v>
      </c>
      <c r="Q31" s="292">
        <f t="shared" si="6"/>
        <v>507915.19999999995</v>
      </c>
      <c r="R31" s="1"/>
      <c r="S31" s="1"/>
      <c r="T31" s="1"/>
      <c r="U31" s="1"/>
      <c r="V31" s="1"/>
      <c r="W31" s="1"/>
      <c r="X31" s="1"/>
    </row>
    <row r="32" spans="1:24" x14ac:dyDescent="0.2">
      <c r="A32" s="1"/>
      <c r="B32" s="5" t="s">
        <v>0</v>
      </c>
      <c r="C32" s="282">
        <f>SUM(C3:C30)</f>
        <v>27244622.859999992</v>
      </c>
      <c r="D32" s="282">
        <f>SUM(D3:D30)</f>
        <v>9076032.3800000008</v>
      </c>
      <c r="E32" s="282">
        <f>SUM(E3:E30)</f>
        <v>382230</v>
      </c>
      <c r="F32" s="282">
        <f>SUM(F3:F30)</f>
        <v>36702885.239999995</v>
      </c>
      <c r="G32" s="1"/>
      <c r="H32" s="298">
        <f>SUM(H3:H31)</f>
        <v>11374630.049999999</v>
      </c>
      <c r="I32" s="298">
        <f>SUM(I3:I30)</f>
        <v>3789243.5</v>
      </c>
      <c r="J32" s="298">
        <f>SUM(J3:J30)</f>
        <v>159581.03</v>
      </c>
      <c r="K32" s="298">
        <f>SUM(K3:K30)</f>
        <v>15323454.580000002</v>
      </c>
      <c r="L32" s="1"/>
      <c r="M32" s="282">
        <f>M34-H33</f>
        <v>11374630.049999997</v>
      </c>
      <c r="N32" s="282">
        <f>H32-M32</f>
        <v>0</v>
      </c>
      <c r="O32" s="282"/>
      <c r="P32" s="1">
        <v>19</v>
      </c>
      <c r="Q32" s="292">
        <f t="shared" si="6"/>
        <v>507915.19999999995</v>
      </c>
      <c r="R32" s="1"/>
      <c r="S32" s="1"/>
      <c r="T32" s="1"/>
      <c r="U32" s="1"/>
      <c r="V32" s="1"/>
      <c r="W32" s="1"/>
      <c r="X32" s="1"/>
    </row>
    <row r="33" spans="1:25" x14ac:dyDescent="0.2">
      <c r="A33" s="1" t="s">
        <v>178</v>
      </c>
      <c r="B33" s="299">
        <v>39862</v>
      </c>
      <c r="C33" s="282"/>
      <c r="D33" s="1"/>
      <c r="E33" s="1"/>
      <c r="F33" s="1"/>
      <c r="G33" s="1"/>
      <c r="H33" s="282">
        <f>V12-1999.88</f>
        <v>-547346.64</v>
      </c>
      <c r="I33" s="1"/>
      <c r="J33" s="277">
        <f>C112</f>
        <v>-8549.0299999999988</v>
      </c>
      <c r="K33" s="1"/>
      <c r="L33" s="1"/>
      <c r="M33" s="1"/>
      <c r="N33" s="282"/>
      <c r="O33" s="282"/>
      <c r="P33" s="1">
        <v>20</v>
      </c>
      <c r="Q33" s="292">
        <f t="shared" si="6"/>
        <v>507915.19999999995</v>
      </c>
      <c r="R33" s="1"/>
      <c r="S33" s="1"/>
      <c r="T33" s="1"/>
      <c r="U33" s="1"/>
      <c r="V33" s="1"/>
      <c r="W33" s="1"/>
      <c r="X33" s="1"/>
    </row>
    <row r="34" spans="1:25" x14ac:dyDescent="0.2">
      <c r="A34" s="1"/>
      <c r="B34" s="1"/>
      <c r="C34" s="282"/>
      <c r="D34" s="1"/>
      <c r="E34" s="1"/>
      <c r="F34" s="1"/>
      <c r="G34" s="1"/>
      <c r="H34" s="282">
        <f>H33+H32</f>
        <v>10827283.409999998</v>
      </c>
      <c r="I34" s="1"/>
      <c r="J34" s="282">
        <f>J33+J32</f>
        <v>151032</v>
      </c>
      <c r="K34" s="1"/>
      <c r="L34" s="1"/>
      <c r="M34" s="282">
        <f>Q34</f>
        <v>10827283.409999996</v>
      </c>
      <c r="N34" s="282"/>
      <c r="O34" s="282"/>
      <c r="P34" s="1"/>
      <c r="Q34" s="282">
        <f>SUM(Q14:Q33)</f>
        <v>10827283.409999996</v>
      </c>
      <c r="R34" s="1"/>
      <c r="S34" s="1"/>
      <c r="T34" s="1"/>
      <c r="U34" s="1"/>
      <c r="V34" s="1"/>
      <c r="W34" s="1"/>
      <c r="X34" s="1"/>
      <c r="Y34" s="294"/>
    </row>
    <row r="35" spans="1:25" x14ac:dyDescent="0.2">
      <c r="A35" s="400" t="s">
        <v>95</v>
      </c>
      <c r="B35" s="400"/>
      <c r="C35" s="17">
        <v>38805</v>
      </c>
      <c r="D35" s="1"/>
      <c r="E35" s="1"/>
      <c r="F35" s="1"/>
      <c r="G35" s="1"/>
      <c r="H35" s="282"/>
      <c r="I35" s="1"/>
      <c r="J35" s="282"/>
      <c r="K35" s="1"/>
      <c r="L35" s="1"/>
      <c r="M35" s="1"/>
      <c r="N35" s="282">
        <v>1999.8800000026799</v>
      </c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5" x14ac:dyDescent="0.2">
      <c r="A36" s="364" t="s">
        <v>58</v>
      </c>
      <c r="B36" s="365"/>
      <c r="C36" s="365"/>
      <c r="D36" s="365"/>
      <c r="E36" s="365"/>
      <c r="F36" s="365"/>
      <c r="G36" s="365"/>
      <c r="H36" s="365"/>
      <c r="I36" s="365"/>
      <c r="J36" s="36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5" x14ac:dyDescent="0.2">
      <c r="A37" s="2" t="s">
        <v>10</v>
      </c>
      <c r="B37" s="2" t="s">
        <v>11</v>
      </c>
      <c r="C37" s="2" t="s">
        <v>12</v>
      </c>
      <c r="D37" s="2" t="s">
        <v>13</v>
      </c>
      <c r="E37" s="2" t="s">
        <v>14</v>
      </c>
      <c r="F37" s="2" t="s">
        <v>15</v>
      </c>
      <c r="G37" s="2" t="s">
        <v>16</v>
      </c>
      <c r="H37" s="2"/>
      <c r="I37" s="2"/>
      <c r="J37" s="2" t="s">
        <v>17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5" ht="51" x14ac:dyDescent="0.2">
      <c r="A38" s="6" t="s">
        <v>18</v>
      </c>
      <c r="B38" s="6" t="s">
        <v>19</v>
      </c>
      <c r="C38" s="6" t="s">
        <v>20</v>
      </c>
      <c r="D38" s="6" t="s">
        <v>21</v>
      </c>
      <c r="E38" s="6" t="s">
        <v>22</v>
      </c>
      <c r="F38" s="6" t="s">
        <v>23</v>
      </c>
      <c r="G38" s="6" t="s">
        <v>130</v>
      </c>
      <c r="H38" s="6" t="s">
        <v>37</v>
      </c>
      <c r="I38" s="6" t="s">
        <v>131</v>
      </c>
      <c r="J38" s="6" t="s">
        <v>25</v>
      </c>
      <c r="K38" s="1"/>
      <c r="L38" s="1"/>
      <c r="M38" s="1"/>
      <c r="N38" s="1"/>
      <c r="O38" s="282"/>
      <c r="P38" s="1"/>
      <c r="Q38" s="1"/>
      <c r="R38" s="1"/>
      <c r="S38" s="1"/>
      <c r="T38" s="1"/>
      <c r="U38" s="1"/>
      <c r="V38" s="1"/>
      <c r="W38" s="1"/>
      <c r="X38" s="1"/>
    </row>
    <row r="39" spans="1:25" x14ac:dyDescent="0.2">
      <c r="A39" s="15" t="s">
        <v>76</v>
      </c>
      <c r="B39" s="187">
        <f>C35</f>
        <v>38805</v>
      </c>
      <c r="C39" s="188">
        <v>38807</v>
      </c>
      <c r="D39" s="189">
        <f t="shared" ref="D39:D60" si="7">+C39-B39+1</f>
        <v>3</v>
      </c>
      <c r="E39" s="190">
        <v>6.78</v>
      </c>
      <c r="F39" s="191">
        <f>H32</f>
        <v>11374630.049999999</v>
      </c>
      <c r="G39" s="300">
        <f t="shared" ref="G39:G47" si="8">+D39/365*E39/100*F39</f>
        <v>6338.6294579999985</v>
      </c>
      <c r="H39" s="300"/>
      <c r="I39" s="301"/>
      <c r="J39" s="197">
        <f>+F39+G39</f>
        <v>11380968.679458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5" x14ac:dyDescent="0.2">
      <c r="A40" s="7" t="s">
        <v>77</v>
      </c>
      <c r="B40" s="194">
        <f t="shared" ref="B40:B60" si="9">C39+1</f>
        <v>38808</v>
      </c>
      <c r="C40" s="175">
        <v>38898</v>
      </c>
      <c r="D40" s="176">
        <f t="shared" si="7"/>
        <v>91</v>
      </c>
      <c r="E40" s="195">
        <v>7.3</v>
      </c>
      <c r="F40" s="177">
        <f>J39</f>
        <v>11380968.679458</v>
      </c>
      <c r="G40" s="302">
        <f t="shared" si="8"/>
        <v>207133.6299661356</v>
      </c>
      <c r="H40" s="302"/>
      <c r="I40" s="303"/>
      <c r="J40" s="198">
        <f>+F40+G40</f>
        <v>11588102.309424136</v>
      </c>
      <c r="K40" s="1"/>
      <c r="L40" s="1"/>
      <c r="M40" s="1"/>
      <c r="N40" s="1"/>
      <c r="O40" s="1"/>
      <c r="P40" s="282"/>
      <c r="Q40" s="1"/>
      <c r="R40" s="1"/>
      <c r="S40" s="1"/>
      <c r="T40" s="1"/>
      <c r="U40" s="1"/>
      <c r="V40" s="1"/>
      <c r="W40" s="1"/>
      <c r="X40" s="1"/>
    </row>
    <row r="41" spans="1:25" x14ac:dyDescent="0.2">
      <c r="A41" s="7" t="s">
        <v>78</v>
      </c>
      <c r="B41" s="194">
        <f t="shared" si="9"/>
        <v>38899</v>
      </c>
      <c r="C41" s="175">
        <v>38990</v>
      </c>
      <c r="D41" s="176">
        <f t="shared" si="7"/>
        <v>92</v>
      </c>
      <c r="E41" s="176">
        <v>7.74</v>
      </c>
      <c r="F41" s="177">
        <f>J40</f>
        <v>11588102.309424136</v>
      </c>
      <c r="G41" s="302">
        <f>+D41/365*E41/100*F41</f>
        <v>226072.76417793808</v>
      </c>
      <c r="H41" s="302">
        <f>F$39/20*2</f>
        <v>1137463.0049999999</v>
      </c>
      <c r="I41" s="303">
        <f>G$42/20*2</f>
        <v>43954.502360207363</v>
      </c>
      <c r="J41" s="198">
        <f>+F41+G41-H41-I41</f>
        <v>10632757.566241866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5" x14ac:dyDescent="0.2">
      <c r="A42" s="7"/>
      <c r="B42" s="194"/>
      <c r="C42" s="175"/>
      <c r="D42" s="176"/>
      <c r="E42" s="398" t="s">
        <v>132</v>
      </c>
      <c r="F42" s="399"/>
      <c r="G42" s="304">
        <f>SUM(G39:G41)</f>
        <v>439545.02360207366</v>
      </c>
      <c r="H42" s="302"/>
      <c r="I42" s="303"/>
      <c r="J42" s="305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5" x14ac:dyDescent="0.2">
      <c r="A43" s="7" t="s">
        <v>79</v>
      </c>
      <c r="B43" s="194">
        <f>C41+1</f>
        <v>38991</v>
      </c>
      <c r="C43" s="175">
        <v>39082</v>
      </c>
      <c r="D43" s="176">
        <f t="shared" si="7"/>
        <v>92</v>
      </c>
      <c r="E43" s="176">
        <v>8.17</v>
      </c>
      <c r="F43" s="177">
        <f>F$39+G$42-SUM(H$41:H42)-SUM(I$41:I42)</f>
        <v>10632757.566241866</v>
      </c>
      <c r="G43" s="302">
        <f>+D43/365*E43/100*F43</f>
        <v>218959.06567369963</v>
      </c>
      <c r="H43" s="302">
        <f t="shared" ref="H43:H50" si="10">F$39/20</f>
        <v>568731.50249999994</v>
      </c>
      <c r="I43" s="306">
        <f>G$42/20</f>
        <v>21977.251180103682</v>
      </c>
      <c r="J43" s="30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5" x14ac:dyDescent="0.2">
      <c r="A44" s="7" t="s">
        <v>80</v>
      </c>
      <c r="B44" s="194">
        <f t="shared" si="9"/>
        <v>39083</v>
      </c>
      <c r="C44" s="175">
        <v>39172</v>
      </c>
      <c r="D44" s="176">
        <f t="shared" si="7"/>
        <v>90</v>
      </c>
      <c r="E44" s="176">
        <v>8.25</v>
      </c>
      <c r="F44" s="177">
        <f>F$39+G$42-SUM(H$41:H43)-SUM(I$41:I43)</f>
        <v>10042048.812561762</v>
      </c>
      <c r="G44" s="302">
        <f t="shared" si="8"/>
        <v>204280.03406375638</v>
      </c>
      <c r="H44" s="302">
        <f t="shared" si="10"/>
        <v>568731.50249999994</v>
      </c>
      <c r="I44" s="306">
        <f>G$42/20</f>
        <v>21977.251180103682</v>
      </c>
      <c r="J44" s="30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5" x14ac:dyDescent="0.2">
      <c r="A45" s="7" t="s">
        <v>81</v>
      </c>
      <c r="B45" s="194">
        <f t="shared" si="9"/>
        <v>39173</v>
      </c>
      <c r="C45" s="175">
        <v>39263</v>
      </c>
      <c r="D45" s="176">
        <f t="shared" si="7"/>
        <v>91</v>
      </c>
      <c r="E45" s="176">
        <v>8.25</v>
      </c>
      <c r="F45" s="177">
        <f>F$39+G$42-SUM(H$41:H44)-SUM(I$41:I44)</f>
        <v>9451340.0588816591</v>
      </c>
      <c r="G45" s="302">
        <f t="shared" si="8"/>
        <v>194399.82326590153</v>
      </c>
      <c r="H45" s="302">
        <f t="shared" si="10"/>
        <v>568731.50249999994</v>
      </c>
      <c r="I45" s="306">
        <f>G$42/20</f>
        <v>21977.251180103682</v>
      </c>
      <c r="J45" s="307"/>
      <c r="K45" s="1"/>
      <c r="L45" s="1"/>
      <c r="M45" s="1"/>
      <c r="N45" s="1"/>
      <c r="O45" s="1"/>
      <c r="P45" s="308"/>
      <c r="Q45" s="1"/>
      <c r="R45" s="1"/>
      <c r="S45" s="1"/>
      <c r="T45" s="1"/>
      <c r="U45" s="1"/>
      <c r="V45" s="1"/>
      <c r="W45" s="1"/>
      <c r="X45" s="1"/>
    </row>
    <row r="46" spans="1:25" x14ac:dyDescent="0.2">
      <c r="A46" s="7" t="s">
        <v>82</v>
      </c>
      <c r="B46" s="194">
        <f t="shared" si="9"/>
        <v>39264</v>
      </c>
      <c r="C46" s="175">
        <v>39355</v>
      </c>
      <c r="D46" s="176">
        <f t="shared" si="7"/>
        <v>92</v>
      </c>
      <c r="E46" s="176">
        <v>8.25</v>
      </c>
      <c r="F46" s="177">
        <f>F$39+G$42-SUM(H$41:H45)-SUM(I$41:I45)</f>
        <v>8860631.3052015547</v>
      </c>
      <c r="G46" s="302">
        <f t="shared" si="8"/>
        <v>184252.57974378028</v>
      </c>
      <c r="H46" s="302">
        <f t="shared" si="10"/>
        <v>568731.50249999994</v>
      </c>
      <c r="I46" s="306">
        <f>G$42/20</f>
        <v>21977.251180103682</v>
      </c>
      <c r="J46" s="307"/>
      <c r="K46" s="1"/>
      <c r="L46" s="1"/>
      <c r="M46" s="1"/>
      <c r="N46" s="1"/>
      <c r="O46" s="1"/>
      <c r="P46" s="308"/>
      <c r="Q46" s="1"/>
      <c r="R46" s="1"/>
      <c r="S46" s="1"/>
      <c r="T46" s="1"/>
      <c r="U46" s="1"/>
      <c r="V46" s="1"/>
      <c r="W46" s="1"/>
      <c r="X46" s="1"/>
    </row>
    <row r="47" spans="1:25" x14ac:dyDescent="0.2">
      <c r="A47" s="246" t="s">
        <v>83</v>
      </c>
      <c r="B47" s="194">
        <f t="shared" si="9"/>
        <v>39356</v>
      </c>
      <c r="C47" s="175">
        <v>39447</v>
      </c>
      <c r="D47" s="176">
        <f t="shared" si="7"/>
        <v>92</v>
      </c>
      <c r="E47" s="176">
        <v>8.25</v>
      </c>
      <c r="F47" s="177">
        <f>F$39+G$42-SUM(H$41:H46)-SUM(I$41:I46)</f>
        <v>8269922.5515214503</v>
      </c>
      <c r="G47" s="302">
        <f t="shared" si="8"/>
        <v>171969.07442752825</v>
      </c>
      <c r="H47" s="302">
        <f t="shared" si="10"/>
        <v>568731.50249999994</v>
      </c>
      <c r="I47" s="306">
        <f>G$42/20</f>
        <v>21977.251180103682</v>
      </c>
      <c r="J47" s="307"/>
      <c r="K47" s="1"/>
      <c r="L47" s="1"/>
      <c r="M47" s="1"/>
      <c r="N47" s="1"/>
      <c r="O47" s="1"/>
      <c r="P47" s="308"/>
      <c r="Q47" s="1"/>
      <c r="R47" s="1"/>
      <c r="S47" s="1"/>
      <c r="T47" s="1"/>
      <c r="U47" s="1"/>
      <c r="V47" s="1"/>
      <c r="W47" s="1"/>
      <c r="X47" s="1"/>
    </row>
    <row r="48" spans="1:25" x14ac:dyDescent="0.2">
      <c r="A48" s="9" t="s">
        <v>105</v>
      </c>
      <c r="B48" s="194">
        <f t="shared" si="9"/>
        <v>39448</v>
      </c>
      <c r="C48" s="175">
        <v>39538</v>
      </c>
      <c r="D48" s="176">
        <f t="shared" si="7"/>
        <v>91</v>
      </c>
      <c r="E48" s="176">
        <v>7.76</v>
      </c>
      <c r="F48" s="177">
        <f>F$39+G$42-SUM(H$41:H47)-SUM(I$41:I47)</f>
        <v>7679213.7978413468</v>
      </c>
      <c r="G48" s="302">
        <f>+D48/366*E48/100*F48</f>
        <v>148162.66708971711</v>
      </c>
      <c r="H48" s="302">
        <f t="shared" si="10"/>
        <v>568731.50249999994</v>
      </c>
      <c r="I48" s="303">
        <f t="shared" ref="I48:I60" si="11">G$42/20</f>
        <v>21977.251180103682</v>
      </c>
      <c r="J48" s="281"/>
      <c r="K48" s="1"/>
      <c r="L48" s="1"/>
      <c r="M48" s="1"/>
      <c r="N48" s="1"/>
      <c r="O48" s="1"/>
      <c r="P48" s="308"/>
      <c r="Q48" s="1"/>
      <c r="R48" s="1"/>
      <c r="S48" s="1"/>
      <c r="T48" s="1"/>
      <c r="U48" s="1"/>
      <c r="V48" s="1"/>
      <c r="W48" s="1"/>
      <c r="X48" s="1"/>
    </row>
    <row r="49" spans="1:24" x14ac:dyDescent="0.2">
      <c r="A49" s="9" t="s">
        <v>106</v>
      </c>
      <c r="B49" s="194">
        <f t="shared" si="9"/>
        <v>39539</v>
      </c>
      <c r="C49" s="175">
        <v>39629</v>
      </c>
      <c r="D49" s="176">
        <f t="shared" si="7"/>
        <v>91</v>
      </c>
      <c r="E49" s="176">
        <v>6.77</v>
      </c>
      <c r="F49" s="177">
        <f>F$39+G$42-SUM(H$41:H48)-SUM(I$41:I48)</f>
        <v>7088505.0441612443</v>
      </c>
      <c r="G49" s="302">
        <f>+D49/366*E49/100*F49</f>
        <v>119317.35799334473</v>
      </c>
      <c r="H49" s="302">
        <f t="shared" si="10"/>
        <v>568731.50249999994</v>
      </c>
      <c r="I49" s="303">
        <f t="shared" si="11"/>
        <v>21977.251180103682</v>
      </c>
      <c r="J49" s="281"/>
      <c r="K49" s="1"/>
      <c r="L49" s="1"/>
      <c r="M49" s="1"/>
      <c r="N49" s="1"/>
      <c r="O49" s="1"/>
      <c r="P49" s="308"/>
      <c r="Q49" s="1"/>
      <c r="R49" s="1"/>
      <c r="S49" s="1"/>
      <c r="T49" s="1"/>
      <c r="U49" s="1"/>
      <c r="V49" s="1"/>
      <c r="W49" s="1"/>
      <c r="X49" s="1"/>
    </row>
    <row r="50" spans="1:24" x14ac:dyDescent="0.2">
      <c r="A50" s="9" t="s">
        <v>107</v>
      </c>
      <c r="B50" s="194">
        <f t="shared" si="9"/>
        <v>39630</v>
      </c>
      <c r="C50" s="175">
        <v>39721</v>
      </c>
      <c r="D50" s="176">
        <f t="shared" si="7"/>
        <v>92</v>
      </c>
      <c r="E50" s="176">
        <v>5.3</v>
      </c>
      <c r="F50" s="177">
        <f>F$39+G$42-SUM(H$41:H49)-SUM(I$41:I49)</f>
        <v>6497796.2904811408</v>
      </c>
      <c r="G50" s="302">
        <f>+D50/366*E50/100*F50</f>
        <v>86566.269705972794</v>
      </c>
      <c r="H50" s="302">
        <f t="shared" si="10"/>
        <v>568731.50249999994</v>
      </c>
      <c r="I50" s="303">
        <f t="shared" si="11"/>
        <v>21977.251180103682</v>
      </c>
      <c r="J50" s="281"/>
      <c r="K50" s="1"/>
      <c r="L50" s="1"/>
      <c r="M50" s="1"/>
      <c r="N50" s="1"/>
      <c r="O50" s="1"/>
      <c r="P50" s="308"/>
      <c r="Q50" s="1"/>
      <c r="R50" s="1"/>
      <c r="S50" s="1"/>
      <c r="T50" s="1"/>
      <c r="U50" s="1"/>
      <c r="V50" s="1"/>
      <c r="W50" s="1"/>
      <c r="X50" s="1"/>
    </row>
    <row r="51" spans="1:24" x14ac:dyDescent="0.2">
      <c r="A51" s="9" t="s">
        <v>100</v>
      </c>
      <c r="B51" s="194">
        <f t="shared" si="9"/>
        <v>39722</v>
      </c>
      <c r="C51" s="175">
        <v>39813</v>
      </c>
      <c r="D51" s="176">
        <f t="shared" si="7"/>
        <v>92</v>
      </c>
      <c r="E51" s="176">
        <v>5</v>
      </c>
      <c r="F51" s="177">
        <f>F$39+G$42-SUM(H$41:H50)-SUM(I$41:I50)</f>
        <v>5907087.5368010374</v>
      </c>
      <c r="G51" s="302">
        <f>+D51/366*E51/100*F51</f>
        <v>74242.083795860031</v>
      </c>
      <c r="H51" s="302">
        <f>F$39/20</f>
        <v>568731.50249999994</v>
      </c>
      <c r="I51" s="303">
        <f t="shared" si="11"/>
        <v>21977.251180103682</v>
      </c>
      <c r="J51" s="281"/>
      <c r="K51" s="1"/>
      <c r="L51" s="1"/>
      <c r="M51" s="1"/>
      <c r="N51" s="1"/>
      <c r="O51" s="1"/>
      <c r="P51" s="308"/>
      <c r="Q51" s="1"/>
      <c r="R51" s="1"/>
      <c r="S51" s="1"/>
      <c r="T51" s="1"/>
      <c r="U51" s="1"/>
      <c r="V51" s="1"/>
      <c r="W51" s="1"/>
      <c r="X51" s="1"/>
    </row>
    <row r="52" spans="1:24" x14ac:dyDescent="0.2">
      <c r="A52" s="9" t="s">
        <v>108</v>
      </c>
      <c r="B52" s="194">
        <f t="shared" si="9"/>
        <v>39814</v>
      </c>
      <c r="C52" s="175">
        <v>39903</v>
      </c>
      <c r="D52" s="176">
        <f t="shared" si="7"/>
        <v>90</v>
      </c>
      <c r="E52" s="176">
        <v>4.5199999999999996</v>
      </c>
      <c r="F52" s="177">
        <f>F$39+G$42-SUM(H$41:H51)-SUM(I$41:I51)</f>
        <v>5316378.7831209339</v>
      </c>
      <c r="G52" s="302">
        <f t="shared" ref="G52:G60" si="12">+D52/365*E52/100*F52</f>
        <v>59252.133944482077</v>
      </c>
      <c r="H52" s="302">
        <f>((H34-(H51*11))/9)-H33</f>
        <v>1055261.8491666666</v>
      </c>
      <c r="I52" s="303">
        <f t="shared" si="11"/>
        <v>21977.251180103682</v>
      </c>
      <c r="J52" s="281"/>
      <c r="K52" s="1"/>
      <c r="L52" s="1"/>
      <c r="M52" s="1"/>
      <c r="N52" s="1"/>
      <c r="O52" s="1"/>
      <c r="P52" s="308"/>
      <c r="Q52" s="1"/>
      <c r="R52" s="1"/>
      <c r="S52" s="1"/>
      <c r="T52" s="1"/>
      <c r="U52" s="1"/>
      <c r="V52" s="1"/>
      <c r="W52" s="1"/>
      <c r="X52" s="1"/>
    </row>
    <row r="53" spans="1:24" x14ac:dyDescent="0.2">
      <c r="A53" s="9" t="s">
        <v>109</v>
      </c>
      <c r="B53" s="194">
        <f t="shared" si="9"/>
        <v>39904</v>
      </c>
      <c r="C53" s="175">
        <v>39994</v>
      </c>
      <c r="D53" s="176">
        <f t="shared" si="7"/>
        <v>91</v>
      </c>
      <c r="E53" s="176">
        <v>3.37</v>
      </c>
      <c r="F53" s="177">
        <f>F$39+G$42-SUM(H$41:H52)-SUM(I$41:I52)</f>
        <v>4239139.6827741638</v>
      </c>
      <c r="G53" s="302">
        <f t="shared" si="12"/>
        <v>35616.903192228841</v>
      </c>
      <c r="H53" s="302">
        <f>((H34-(568731.5*11))/9)</f>
        <v>507915.21222222201</v>
      </c>
      <c r="I53" s="303">
        <f t="shared" si="11"/>
        <v>21977.251180103682</v>
      </c>
      <c r="J53" s="281"/>
      <c r="K53" s="1"/>
      <c r="L53" s="1"/>
      <c r="M53" s="1"/>
      <c r="N53" s="1"/>
      <c r="O53" s="1"/>
      <c r="P53" s="308"/>
      <c r="Q53" s="1"/>
      <c r="R53" s="1"/>
      <c r="S53" s="1"/>
      <c r="T53" s="1"/>
      <c r="U53" s="1"/>
      <c r="V53" s="1"/>
      <c r="W53" s="1"/>
      <c r="X53" s="1"/>
    </row>
    <row r="54" spans="1:24" x14ac:dyDescent="0.2">
      <c r="A54" s="9" t="s">
        <v>111</v>
      </c>
      <c r="B54" s="194">
        <f t="shared" si="9"/>
        <v>39995</v>
      </c>
      <c r="C54" s="175">
        <v>40086</v>
      </c>
      <c r="D54" s="176">
        <f t="shared" si="7"/>
        <v>92</v>
      </c>
      <c r="E54" s="176">
        <v>3.25</v>
      </c>
      <c r="F54" s="177">
        <f>F$39+G$42-SUM(H$41:H53)-SUM(I$41:I53)</f>
        <v>3709247.2193718376</v>
      </c>
      <c r="G54" s="302">
        <f t="shared" si="12"/>
        <v>30385.340235402178</v>
      </c>
      <c r="H54" s="302">
        <f>H53</f>
        <v>507915.21222222201</v>
      </c>
      <c r="I54" s="303">
        <f t="shared" si="11"/>
        <v>21977.251180103682</v>
      </c>
      <c r="J54" s="281"/>
      <c r="K54" s="1"/>
      <c r="L54" s="1"/>
      <c r="M54" s="1"/>
      <c r="N54" s="1"/>
      <c r="O54" s="1"/>
      <c r="P54" s="308"/>
      <c r="Q54" s="1"/>
      <c r="R54" s="1"/>
      <c r="S54" s="1"/>
      <c r="T54" s="1"/>
      <c r="U54" s="1"/>
      <c r="V54" s="1"/>
      <c r="W54" s="1"/>
      <c r="X54" s="1"/>
    </row>
    <row r="55" spans="1:24" x14ac:dyDescent="0.2">
      <c r="A55" s="9" t="s">
        <v>101</v>
      </c>
      <c r="B55" s="194">
        <f t="shared" si="9"/>
        <v>40087</v>
      </c>
      <c r="C55" s="175">
        <v>40178</v>
      </c>
      <c r="D55" s="176">
        <f t="shared" si="7"/>
        <v>92</v>
      </c>
      <c r="E55" s="176">
        <v>3.25</v>
      </c>
      <c r="F55" s="177">
        <f>F$39+G$42-SUM(H$41:H54)-SUM(I$41:I54)</f>
        <v>3179354.7559695118</v>
      </c>
      <c r="G55" s="302">
        <f t="shared" si="12"/>
        <v>26044.577316024224</v>
      </c>
      <c r="H55" s="302">
        <f t="shared" ref="H55:H60" si="13">H54</f>
        <v>507915.21222222201</v>
      </c>
      <c r="I55" s="303">
        <f t="shared" si="11"/>
        <v>21977.251180103682</v>
      </c>
      <c r="J55" s="281"/>
      <c r="K55" s="1"/>
      <c r="L55" s="1"/>
      <c r="M55" s="1"/>
      <c r="N55" s="1"/>
      <c r="O55" s="1"/>
      <c r="P55" s="308"/>
      <c r="Q55" s="1"/>
      <c r="R55" s="1"/>
      <c r="S55" s="1"/>
      <c r="T55" s="1"/>
      <c r="U55" s="1"/>
      <c r="V55" s="1"/>
      <c r="W55" s="1"/>
      <c r="X55" s="1"/>
    </row>
    <row r="56" spans="1:24" x14ac:dyDescent="0.2">
      <c r="A56" s="9" t="s">
        <v>112</v>
      </c>
      <c r="B56" s="194">
        <f t="shared" si="9"/>
        <v>40179</v>
      </c>
      <c r="C56" s="175">
        <v>40268</v>
      </c>
      <c r="D56" s="176">
        <f t="shared" si="7"/>
        <v>90</v>
      </c>
      <c r="E56" s="176">
        <v>3.25</v>
      </c>
      <c r="F56" s="177">
        <f>F$39+G$42-SUM(H$41:H55)-SUM(I$41:I55)</f>
        <v>2649462.2925671861</v>
      </c>
      <c r="G56" s="302">
        <f t="shared" si="12"/>
        <v>21231.992344545255</v>
      </c>
      <c r="H56" s="302">
        <f t="shared" si="13"/>
        <v>507915.21222222201</v>
      </c>
      <c r="I56" s="303">
        <f t="shared" si="11"/>
        <v>21977.251180103682</v>
      </c>
      <c r="J56" s="281"/>
      <c r="K56" s="1"/>
      <c r="L56" s="1"/>
      <c r="M56" s="1"/>
      <c r="N56" s="1"/>
      <c r="O56" s="1"/>
      <c r="P56" s="308"/>
      <c r="Q56" s="1"/>
      <c r="R56" s="1"/>
      <c r="S56" s="1"/>
      <c r="T56" s="1"/>
      <c r="U56" s="1"/>
      <c r="V56" s="1"/>
      <c r="W56" s="1"/>
      <c r="X56" s="1"/>
    </row>
    <row r="57" spans="1:24" x14ac:dyDescent="0.2">
      <c r="A57" s="9" t="s">
        <v>113</v>
      </c>
      <c r="B57" s="194">
        <f t="shared" si="9"/>
        <v>40269</v>
      </c>
      <c r="C57" s="175">
        <v>40359</v>
      </c>
      <c r="D57" s="176">
        <f t="shared" si="7"/>
        <v>91</v>
      </c>
      <c r="E57" s="176">
        <v>3.25</v>
      </c>
      <c r="F57" s="177">
        <f>F$39+G$42-SUM(H$41:H56)-SUM(I$41:I56)</f>
        <v>2119569.8291648598</v>
      </c>
      <c r="G57" s="302">
        <f t="shared" si="12"/>
        <v>17174.322656863213</v>
      </c>
      <c r="H57" s="302">
        <f t="shared" si="13"/>
        <v>507915.21222222201</v>
      </c>
      <c r="I57" s="303">
        <f t="shared" si="11"/>
        <v>21977.251180103682</v>
      </c>
      <c r="J57" s="281"/>
      <c r="K57" s="1"/>
      <c r="L57" s="1"/>
      <c r="M57" s="1"/>
      <c r="N57" s="1"/>
      <c r="O57" s="1"/>
      <c r="P57" s="308"/>
      <c r="Q57" s="1"/>
      <c r="R57" s="1"/>
      <c r="S57" s="1"/>
      <c r="T57" s="1"/>
      <c r="U57" s="1"/>
      <c r="V57" s="1"/>
      <c r="W57" s="1"/>
      <c r="X57" s="1"/>
    </row>
    <row r="58" spans="1:24" x14ac:dyDescent="0.2">
      <c r="A58" s="9" t="s">
        <v>114</v>
      </c>
      <c r="B58" s="194">
        <f t="shared" si="9"/>
        <v>40360</v>
      </c>
      <c r="C58" s="175">
        <v>40451</v>
      </c>
      <c r="D58" s="176">
        <f t="shared" si="7"/>
        <v>92</v>
      </c>
      <c r="E58" s="176">
        <v>3.25</v>
      </c>
      <c r="F58" s="177">
        <f>F$39+G$42-SUM(H$41:H57)-SUM(I$41:I57)</f>
        <v>1589677.3657625341</v>
      </c>
      <c r="G58" s="302">
        <f t="shared" si="12"/>
        <v>13022.28855789035</v>
      </c>
      <c r="H58" s="302">
        <f t="shared" si="13"/>
        <v>507915.21222222201</v>
      </c>
      <c r="I58" s="303">
        <f t="shared" si="11"/>
        <v>21977.251180103682</v>
      </c>
      <c r="J58" s="281"/>
      <c r="K58" s="1"/>
      <c r="L58" s="1"/>
      <c r="M58" s="1"/>
      <c r="N58" s="1"/>
      <c r="O58" s="1"/>
      <c r="P58" s="308"/>
      <c r="Q58" s="1"/>
      <c r="R58" s="1"/>
      <c r="S58" s="1"/>
      <c r="T58" s="1"/>
      <c r="U58" s="1"/>
      <c r="V58" s="1"/>
      <c r="W58" s="1"/>
      <c r="X58" s="1"/>
    </row>
    <row r="59" spans="1:24" x14ac:dyDescent="0.2">
      <c r="A59" s="9" t="s">
        <v>102</v>
      </c>
      <c r="B59" s="194">
        <f t="shared" si="9"/>
        <v>40452</v>
      </c>
      <c r="C59" s="175">
        <v>40543</v>
      </c>
      <c r="D59" s="176">
        <f t="shared" si="7"/>
        <v>92</v>
      </c>
      <c r="E59" s="176">
        <v>3.25</v>
      </c>
      <c r="F59" s="177">
        <f>F$39+G$42-SUM(H$41:H58)-SUM(I$41:I58)</f>
        <v>1059784.9023602081</v>
      </c>
      <c r="G59" s="302">
        <f t="shared" si="12"/>
        <v>8681.5256385123903</v>
      </c>
      <c r="H59" s="302">
        <f t="shared" si="13"/>
        <v>507915.21222222201</v>
      </c>
      <c r="I59" s="303">
        <f t="shared" si="11"/>
        <v>21977.251180103682</v>
      </c>
      <c r="J59" s="281"/>
      <c r="K59" s="1"/>
      <c r="L59" s="1"/>
      <c r="M59" s="1"/>
      <c r="N59" s="1"/>
      <c r="O59" s="1"/>
      <c r="P59" s="308"/>
      <c r="Q59" s="1"/>
      <c r="R59" s="1"/>
      <c r="S59" s="1"/>
      <c r="T59" s="1"/>
      <c r="U59" s="1"/>
      <c r="V59" s="1"/>
      <c r="W59" s="1"/>
      <c r="X59" s="1"/>
    </row>
    <row r="60" spans="1:24" x14ac:dyDescent="0.2">
      <c r="A60" s="9" t="s">
        <v>115</v>
      </c>
      <c r="B60" s="194">
        <f t="shared" si="9"/>
        <v>40544</v>
      </c>
      <c r="C60" s="175">
        <v>40633</v>
      </c>
      <c r="D60" s="176">
        <f t="shared" si="7"/>
        <v>90</v>
      </c>
      <c r="E60" s="176">
        <v>3.25</v>
      </c>
      <c r="F60" s="177">
        <f>F$39+G$42-SUM(H$41:H59)-SUM(I$41:I59)</f>
        <v>529892.43895788211</v>
      </c>
      <c r="G60" s="302">
        <f t="shared" si="12"/>
        <v>4246.3983121967258</v>
      </c>
      <c r="H60" s="302">
        <f t="shared" si="13"/>
        <v>507915.21222222201</v>
      </c>
      <c r="I60" s="303">
        <f t="shared" si="11"/>
        <v>21977.251180103682</v>
      </c>
      <c r="J60" s="281"/>
      <c r="K60" s="1"/>
      <c r="L60" s="1"/>
      <c r="M60" s="1"/>
      <c r="N60" s="1"/>
      <c r="O60" s="1"/>
      <c r="P60" s="308"/>
      <c r="Q60" s="1"/>
      <c r="R60" s="1"/>
      <c r="S60" s="1"/>
      <c r="T60" s="1"/>
      <c r="U60" s="1"/>
      <c r="V60" s="1"/>
      <c r="W60" s="1"/>
      <c r="X60" s="1"/>
    </row>
    <row r="61" spans="1:24" x14ac:dyDescent="0.2">
      <c r="A61" s="1"/>
      <c r="B61" s="1"/>
      <c r="C61" s="1"/>
      <c r="D61" s="1"/>
      <c r="E61" s="1"/>
      <c r="F61" s="1"/>
      <c r="G61" s="311"/>
      <c r="H61" s="327">
        <f>SUM(H41:H60)</f>
        <v>11374630.074444443</v>
      </c>
      <c r="I61" s="327">
        <f>SUM(I41:I60)</f>
        <v>439545.02360207372</v>
      </c>
      <c r="J61" s="311"/>
      <c r="K61" s="1"/>
      <c r="L61" s="1"/>
      <c r="M61" s="1"/>
      <c r="N61" s="1"/>
      <c r="O61" s="1"/>
      <c r="P61" s="308"/>
      <c r="Q61" s="1"/>
      <c r="R61" s="1"/>
      <c r="S61" s="1"/>
      <c r="T61" s="1"/>
      <c r="U61" s="1"/>
      <c r="V61" s="1"/>
      <c r="W61" s="1"/>
      <c r="X61" s="1"/>
    </row>
    <row r="62" spans="1:24" x14ac:dyDescent="0.2">
      <c r="A62" s="364" t="s">
        <v>125</v>
      </c>
      <c r="B62" s="365"/>
      <c r="C62" s="365"/>
      <c r="D62" s="365"/>
      <c r="E62" s="365"/>
      <c r="F62" s="365"/>
      <c r="G62" s="365"/>
      <c r="H62" s="365"/>
      <c r="I62" s="365"/>
      <c r="J62" s="366"/>
      <c r="K62" s="1"/>
      <c r="L62" s="1"/>
      <c r="M62" s="1"/>
      <c r="N62" s="1"/>
      <c r="O62" s="1"/>
      <c r="P62" s="308"/>
      <c r="Q62" s="1"/>
      <c r="R62" s="1"/>
      <c r="S62" s="1"/>
      <c r="T62" s="1"/>
      <c r="U62" s="1"/>
      <c r="V62" s="1"/>
      <c r="W62" s="1"/>
      <c r="X62" s="1"/>
    </row>
    <row r="63" spans="1:24" x14ac:dyDescent="0.2">
      <c r="A63" s="2" t="s">
        <v>10</v>
      </c>
      <c r="B63" s="2" t="s">
        <v>11</v>
      </c>
      <c r="C63" s="2" t="s">
        <v>12</v>
      </c>
      <c r="D63" s="2" t="s">
        <v>13</v>
      </c>
      <c r="E63" s="2" t="s">
        <v>14</v>
      </c>
      <c r="F63" s="2" t="s">
        <v>15</v>
      </c>
      <c r="G63" s="2" t="s">
        <v>16</v>
      </c>
      <c r="H63" s="2"/>
      <c r="I63" s="2"/>
      <c r="J63" s="2" t="s">
        <v>17</v>
      </c>
      <c r="K63" s="1"/>
      <c r="L63" s="1"/>
      <c r="M63" s="1"/>
      <c r="N63" s="1"/>
      <c r="O63" s="1"/>
      <c r="P63" s="308"/>
      <c r="Q63" s="1"/>
      <c r="R63" s="1"/>
      <c r="S63" s="1"/>
      <c r="T63" s="1"/>
      <c r="U63" s="1"/>
      <c r="V63" s="1"/>
      <c r="W63" s="1"/>
      <c r="X63" s="1"/>
    </row>
    <row r="64" spans="1:24" ht="51" x14ac:dyDescent="0.2">
      <c r="A64" s="6" t="s">
        <v>18</v>
      </c>
      <c r="B64" s="6" t="s">
        <v>19</v>
      </c>
      <c r="C64" s="6" t="s">
        <v>20</v>
      </c>
      <c r="D64" s="6" t="s">
        <v>21</v>
      </c>
      <c r="E64" s="6" t="s">
        <v>22</v>
      </c>
      <c r="F64" s="6" t="s">
        <v>23</v>
      </c>
      <c r="G64" s="6" t="s">
        <v>130</v>
      </c>
      <c r="H64" s="6" t="s">
        <v>37</v>
      </c>
      <c r="I64" s="6" t="s">
        <v>131</v>
      </c>
      <c r="J64" s="6" t="s">
        <v>25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s="1" customFormat="1" x14ac:dyDescent="0.2">
      <c r="A65" s="160" t="s">
        <v>76</v>
      </c>
      <c r="B65" s="161">
        <f>B30</f>
        <v>38775</v>
      </c>
      <c r="C65" s="162">
        <v>38807</v>
      </c>
      <c r="D65" s="163">
        <f>+C65-B65+1</f>
        <v>33</v>
      </c>
      <c r="E65" s="164">
        <v>6.78</v>
      </c>
      <c r="F65" s="165">
        <f>J32</f>
        <v>159581.03</v>
      </c>
      <c r="G65" s="165">
        <f>D65/365*E65/100*F65</f>
        <v>978.20985348493161</v>
      </c>
      <c r="H65" s="164"/>
      <c r="I65" s="166"/>
      <c r="J65" s="199">
        <f>+F65+G65</f>
        <v>160559.23985348493</v>
      </c>
    </row>
    <row r="66" spans="1:24" s="1" customFormat="1" ht="15" customHeight="1" x14ac:dyDescent="0.2">
      <c r="A66" s="167" t="s">
        <v>77</v>
      </c>
      <c r="B66" s="168">
        <f>C65+1</f>
        <v>38808</v>
      </c>
      <c r="C66" s="168">
        <v>38898</v>
      </c>
      <c r="D66" s="169">
        <f>+C66-B66+1</f>
        <v>91</v>
      </c>
      <c r="E66" s="170">
        <v>7.3</v>
      </c>
      <c r="F66" s="171">
        <f>J65</f>
        <v>160559.23985348493</v>
      </c>
      <c r="G66" s="171">
        <f>D66/365*E66/100*F66</f>
        <v>2922.178165333426</v>
      </c>
      <c r="H66" s="172"/>
      <c r="I66" s="173"/>
      <c r="J66" s="200">
        <f>+F66+G66</f>
        <v>163481.41801881837</v>
      </c>
    </row>
    <row r="67" spans="1:24" x14ac:dyDescent="0.2">
      <c r="A67" s="174" t="s">
        <v>78</v>
      </c>
      <c r="B67" s="175">
        <f>C66+1</f>
        <v>38899</v>
      </c>
      <c r="C67" s="175">
        <v>38990</v>
      </c>
      <c r="D67" s="176">
        <f>+C67-B67+1</f>
        <v>92</v>
      </c>
      <c r="E67" s="176">
        <v>7.74</v>
      </c>
      <c r="F67" s="177">
        <f>J66</f>
        <v>163481.41801881837</v>
      </c>
      <c r="G67" s="171">
        <f>D67/365*E67/100*F67</f>
        <v>3189.3657025435673</v>
      </c>
      <c r="H67" s="302">
        <f>F65/20*2</f>
        <v>15958.102999999999</v>
      </c>
      <c r="I67" s="303">
        <f>G$68/20*2</f>
        <v>708.9753721361925</v>
      </c>
      <c r="J67" s="200">
        <f>+F67+G67-H67-I67</f>
        <v>150003.70534922573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">
      <c r="A68" s="174"/>
      <c r="B68" s="175"/>
      <c r="C68" s="175"/>
      <c r="D68" s="176"/>
      <c r="E68" s="398" t="s">
        <v>132</v>
      </c>
      <c r="F68" s="399"/>
      <c r="G68" s="304">
        <f>SUM(G65:G67)</f>
        <v>7089.7537213619253</v>
      </c>
      <c r="H68" s="302"/>
      <c r="I68" s="303"/>
      <c r="J68" s="305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">
      <c r="A69" s="174" t="s">
        <v>79</v>
      </c>
      <c r="B69" s="175">
        <f>C67+1</f>
        <v>38991</v>
      </c>
      <c r="C69" s="175">
        <v>39082</v>
      </c>
      <c r="D69" s="176">
        <f>+C69-B69+1</f>
        <v>92</v>
      </c>
      <c r="E69" s="176">
        <v>8.17</v>
      </c>
      <c r="F69" s="177">
        <f>F$65+G$68-SUM(H$67:H68)-SUM(I$67:I68)</f>
        <v>150003.70534922573</v>
      </c>
      <c r="G69" s="302">
        <f>+D69/365*E69/100*F69</f>
        <v>3089.0078106490969</v>
      </c>
      <c r="H69" s="302">
        <f>F65/20</f>
        <v>7979.0514999999996</v>
      </c>
      <c r="I69" s="306">
        <f>G$68/20</f>
        <v>354.48768606809625</v>
      </c>
      <c r="J69" s="307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">
      <c r="A70" s="174" t="s">
        <v>80</v>
      </c>
      <c r="B70" s="175">
        <f>C69+1</f>
        <v>39083</v>
      </c>
      <c r="C70" s="175">
        <v>39172</v>
      </c>
      <c r="D70" s="176">
        <f>+C70-B70+1</f>
        <v>90</v>
      </c>
      <c r="E70" s="176">
        <v>8.25</v>
      </c>
      <c r="F70" s="177">
        <f>F$65+G$68-SUM(H$67:H69)-SUM(I$67:I69)</f>
        <v>141670.16616315761</v>
      </c>
      <c r="G70" s="302">
        <f>+D70/365*E70/100*F70</f>
        <v>2881.9205034560141</v>
      </c>
      <c r="H70" s="302">
        <f t="shared" ref="H70:H77" si="14">H69</f>
        <v>7979.0514999999996</v>
      </c>
      <c r="I70" s="306">
        <f>G$68/20</f>
        <v>354.48768606809625</v>
      </c>
      <c r="J70" s="307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2">
      <c r="A71" s="174" t="s">
        <v>81</v>
      </c>
      <c r="B71" s="175">
        <f>C70+1</f>
        <v>39173</v>
      </c>
      <c r="C71" s="175">
        <v>39263</v>
      </c>
      <c r="D71" s="176">
        <f>+C71-B71+1</f>
        <v>91</v>
      </c>
      <c r="E71" s="176">
        <v>8.25</v>
      </c>
      <c r="F71" s="177">
        <f>F$65+G$68-SUM(H$67:H70)-SUM(I$67:I70)</f>
        <v>133336.62697708953</v>
      </c>
      <c r="G71" s="302">
        <f>+D71/365*E71/100*F71</f>
        <v>2742.533498713698</v>
      </c>
      <c r="H71" s="302">
        <f t="shared" si="14"/>
        <v>7979.0514999999996</v>
      </c>
      <c r="I71" s="306">
        <f>G$68/20</f>
        <v>354.48768606809625</v>
      </c>
      <c r="J71" s="307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2">
      <c r="A72" s="174" t="s">
        <v>82</v>
      </c>
      <c r="B72" s="175">
        <f>C71+1</f>
        <v>39264</v>
      </c>
      <c r="C72" s="175">
        <v>39355</v>
      </c>
      <c r="D72" s="176">
        <f>+C72-B72+1</f>
        <v>92</v>
      </c>
      <c r="E72" s="176">
        <v>8.25</v>
      </c>
      <c r="F72" s="177">
        <f>F$65+G$68-SUM(H$67:H71)-SUM(I$67:I71)</f>
        <v>125003.08779102143</v>
      </c>
      <c r="G72" s="302">
        <f>+D72/365*E72/100*F72</f>
        <v>2599.3792776269938</v>
      </c>
      <c r="H72" s="302">
        <f t="shared" si="14"/>
        <v>7979.0514999999996</v>
      </c>
      <c r="I72" s="306">
        <f>G$68/20</f>
        <v>354.48768606809625</v>
      </c>
      <c r="J72" s="307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2">
      <c r="A73" s="180" t="s">
        <v>83</v>
      </c>
      <c r="B73" s="175">
        <f>C72+1</f>
        <v>39356</v>
      </c>
      <c r="C73" s="175">
        <v>39447</v>
      </c>
      <c r="D73" s="176">
        <f>+C73-B73+1</f>
        <v>92</v>
      </c>
      <c r="E73" s="176">
        <v>8.25</v>
      </c>
      <c r="F73" s="177">
        <f>F$65+G$68-SUM(H$67:H72)-SUM(I$67:I72)</f>
        <v>116669.54860495334</v>
      </c>
      <c r="G73" s="302">
        <f>+D73/365*E73/100*F73</f>
        <v>2426.087325785194</v>
      </c>
      <c r="H73" s="302">
        <f t="shared" si="14"/>
        <v>7979.0514999999996</v>
      </c>
      <c r="I73" s="306">
        <f>G$68/20</f>
        <v>354.48768606809625</v>
      </c>
      <c r="J73" s="307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">
      <c r="A74" s="180" t="s">
        <v>105</v>
      </c>
      <c r="B74" s="175">
        <f t="shared" ref="B74:B87" si="15">C73+1</f>
        <v>39448</v>
      </c>
      <c r="C74" s="175">
        <v>39538</v>
      </c>
      <c r="D74" s="176">
        <f t="shared" ref="D74:D87" si="16">+C74-B74+1</f>
        <v>91</v>
      </c>
      <c r="E74" s="176">
        <v>7.76</v>
      </c>
      <c r="F74" s="177">
        <f>F$65+G$68-SUM(H$67:H73)-SUM(I$67:I73)</f>
        <v>108336.00941888524</v>
      </c>
      <c r="G74" s="302">
        <f>+D74/366*E74/100*F74</f>
        <v>2090.233781727869</v>
      </c>
      <c r="H74" s="302">
        <f t="shared" si="14"/>
        <v>7979.0514999999996</v>
      </c>
      <c r="I74" s="303">
        <f t="shared" ref="I74:I86" si="17">G$68/20</f>
        <v>354.48768606809625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">
      <c r="A75" s="180" t="s">
        <v>106</v>
      </c>
      <c r="B75" s="175">
        <f t="shared" si="15"/>
        <v>39539</v>
      </c>
      <c r="C75" s="175">
        <v>39629</v>
      </c>
      <c r="D75" s="176">
        <f t="shared" si="16"/>
        <v>91</v>
      </c>
      <c r="E75" s="176">
        <v>6.77</v>
      </c>
      <c r="F75" s="177">
        <f>F$65+G$68-SUM(H$67:H74)-SUM(I$67:I74)</f>
        <v>100002.47023281714</v>
      </c>
      <c r="G75" s="302">
        <f>+D75/366*E75/100*F75</f>
        <v>1683.2929463478592</v>
      </c>
      <c r="H75" s="302">
        <f t="shared" si="14"/>
        <v>7979.0514999999996</v>
      </c>
      <c r="I75" s="303">
        <f t="shared" si="17"/>
        <v>354.48768606809625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">
      <c r="A76" s="180" t="s">
        <v>107</v>
      </c>
      <c r="B76" s="175">
        <f t="shared" si="15"/>
        <v>39630</v>
      </c>
      <c r="C76" s="175">
        <v>39721</v>
      </c>
      <c r="D76" s="176">
        <f t="shared" si="16"/>
        <v>92</v>
      </c>
      <c r="E76" s="176">
        <v>5.3</v>
      </c>
      <c r="F76" s="177">
        <f>F$65+G$68-SUM(H$67:H75)-SUM(I$67:I75)</f>
        <v>91668.931046749058</v>
      </c>
      <c r="G76" s="302">
        <f>+D76/366*E76/100*F76</f>
        <v>1221.250567715706</v>
      </c>
      <c r="H76" s="302">
        <f t="shared" si="14"/>
        <v>7979.0514999999996</v>
      </c>
      <c r="I76" s="303">
        <f t="shared" si="17"/>
        <v>354.48768606809625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2">
      <c r="A77" s="180" t="s">
        <v>100</v>
      </c>
      <c r="B77" s="175">
        <f t="shared" si="15"/>
        <v>39722</v>
      </c>
      <c r="C77" s="175">
        <v>39813</v>
      </c>
      <c r="D77" s="176">
        <f t="shared" si="16"/>
        <v>92</v>
      </c>
      <c r="E77" s="176">
        <v>5</v>
      </c>
      <c r="F77" s="177">
        <f>F$65+G$68-SUM(H$67:H76)-SUM(I$67:I76)</f>
        <v>83335.39186068096</v>
      </c>
      <c r="G77" s="302">
        <f>+D77/366*E77/100*F77</f>
        <v>1047.384706445717</v>
      </c>
      <c r="H77" s="302">
        <f t="shared" si="14"/>
        <v>7979.0514999999996</v>
      </c>
      <c r="I77" s="303">
        <f t="shared" si="17"/>
        <v>354.48768606809625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">
      <c r="A78" s="180" t="s">
        <v>108</v>
      </c>
      <c r="B78" s="175">
        <f t="shared" si="15"/>
        <v>39814</v>
      </c>
      <c r="C78" s="175">
        <v>39903</v>
      </c>
      <c r="D78" s="176">
        <f t="shared" si="16"/>
        <v>90</v>
      </c>
      <c r="E78" s="176">
        <v>4.5199999999999996</v>
      </c>
      <c r="F78" s="177">
        <f>F$65+G$68-SUM(H$67:H77)-SUM(I$67:I77)</f>
        <v>75001.852674612863</v>
      </c>
      <c r="G78" s="302">
        <f t="shared" ref="G78:G87" si="18">+D78/365*E78/100*F78</f>
        <v>835.911059398151</v>
      </c>
      <c r="H78" s="302">
        <f>(J34-(7979.05*11))/9-J33</f>
        <v>15578.191111111109</v>
      </c>
      <c r="I78" s="303">
        <f t="shared" si="17"/>
        <v>354.48768606809625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">
      <c r="A79" s="180" t="s">
        <v>109</v>
      </c>
      <c r="B79" s="175">
        <f t="shared" si="15"/>
        <v>39904</v>
      </c>
      <c r="C79" s="175">
        <v>39994</v>
      </c>
      <c r="D79" s="176">
        <f t="shared" si="16"/>
        <v>91</v>
      </c>
      <c r="E79" s="176">
        <v>3.37</v>
      </c>
      <c r="F79" s="177">
        <f>F$65+G$68-SUM(H$67:H78)-SUM(I$67:I78)</f>
        <v>59069.173877433655</v>
      </c>
      <c r="G79" s="302">
        <f t="shared" si="18"/>
        <v>496.29434391760486</v>
      </c>
      <c r="H79" s="302">
        <f>(J34-(7979.05*11))/9</f>
        <v>7029.1611111111106</v>
      </c>
      <c r="I79" s="303">
        <f t="shared" si="17"/>
        <v>354.48768606809625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">
      <c r="A80" s="180" t="s">
        <v>111</v>
      </c>
      <c r="B80" s="175">
        <f t="shared" si="15"/>
        <v>39995</v>
      </c>
      <c r="C80" s="175">
        <v>40086</v>
      </c>
      <c r="D80" s="176">
        <f t="shared" si="16"/>
        <v>92</v>
      </c>
      <c r="E80" s="176">
        <v>3.25</v>
      </c>
      <c r="F80" s="177">
        <f>F$65+G$68-SUM(H$67:H79)-SUM(I$67:I79)</f>
        <v>51685.525080254447</v>
      </c>
      <c r="G80" s="302">
        <f t="shared" si="18"/>
        <v>423.39649312318033</v>
      </c>
      <c r="H80" s="302">
        <f t="shared" ref="H80:H86" si="19">H79</f>
        <v>7029.1611111111106</v>
      </c>
      <c r="I80" s="303">
        <f t="shared" si="17"/>
        <v>354.48768606809625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">
      <c r="A81" s="180" t="s">
        <v>101</v>
      </c>
      <c r="B81" s="175">
        <f t="shared" si="15"/>
        <v>40087</v>
      </c>
      <c r="C81" s="175">
        <v>40178</v>
      </c>
      <c r="D81" s="176">
        <f t="shared" si="16"/>
        <v>92</v>
      </c>
      <c r="E81" s="176">
        <v>3.25</v>
      </c>
      <c r="F81" s="177">
        <f>F$65+G$68-SUM(H$67:H80)-SUM(I$67:I80)</f>
        <v>44301.876283075238</v>
      </c>
      <c r="G81" s="302">
        <f t="shared" si="18"/>
        <v>362.91126051067118</v>
      </c>
      <c r="H81" s="302">
        <f t="shared" si="19"/>
        <v>7029.1611111111106</v>
      </c>
      <c r="I81" s="303">
        <f t="shared" si="17"/>
        <v>354.48768606809625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2">
      <c r="A82" s="180" t="s">
        <v>112</v>
      </c>
      <c r="B82" s="175">
        <f t="shared" si="15"/>
        <v>40179</v>
      </c>
      <c r="C82" s="175">
        <v>40268</v>
      </c>
      <c r="D82" s="176">
        <f t="shared" si="16"/>
        <v>90</v>
      </c>
      <c r="E82" s="176">
        <v>3.25</v>
      </c>
      <c r="F82" s="177">
        <f>F$65+G$68-SUM(H$67:H81)-SUM(I$67:I81)</f>
        <v>36918.22748589603</v>
      </c>
      <c r="G82" s="302">
        <f t="shared" si="18"/>
        <v>295.85154903081065</v>
      </c>
      <c r="H82" s="302">
        <f t="shared" si="19"/>
        <v>7029.1611111111106</v>
      </c>
      <c r="I82" s="303">
        <f t="shared" si="17"/>
        <v>354.48768606809625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2">
      <c r="A83" s="180" t="s">
        <v>113</v>
      </c>
      <c r="B83" s="175">
        <f t="shared" si="15"/>
        <v>40269</v>
      </c>
      <c r="C83" s="175">
        <v>40359</v>
      </c>
      <c r="D83" s="176">
        <f t="shared" si="16"/>
        <v>91</v>
      </c>
      <c r="E83" s="176">
        <v>3.25</v>
      </c>
      <c r="F83" s="177">
        <f>F$65+G$68-SUM(H$67:H82)-SUM(I$67:I82)</f>
        <v>29534.578688716836</v>
      </c>
      <c r="G83" s="302">
        <f t="shared" si="18"/>
        <v>239.31100403254806</v>
      </c>
      <c r="H83" s="302">
        <f t="shared" si="19"/>
        <v>7029.1611111111106</v>
      </c>
      <c r="I83" s="303">
        <f t="shared" si="17"/>
        <v>354.48768606809625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2">
      <c r="A84" s="180" t="s">
        <v>114</v>
      </c>
      <c r="B84" s="175">
        <f t="shared" si="15"/>
        <v>40360</v>
      </c>
      <c r="C84" s="175">
        <v>40451</v>
      </c>
      <c r="D84" s="176">
        <f t="shared" si="16"/>
        <v>92</v>
      </c>
      <c r="E84" s="176">
        <v>3.25</v>
      </c>
      <c r="F84" s="177">
        <f>F$65+G$68-SUM(H$67:H83)-SUM(I$67:I83)</f>
        <v>22150.929891537628</v>
      </c>
      <c r="G84" s="302">
        <f t="shared" si="18"/>
        <v>181.45556267314387</v>
      </c>
      <c r="H84" s="302">
        <f t="shared" si="19"/>
        <v>7029.1611111111106</v>
      </c>
      <c r="I84" s="303">
        <f t="shared" si="17"/>
        <v>354.48768606809625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2">
      <c r="A85" s="180" t="s">
        <v>102</v>
      </c>
      <c r="B85" s="175">
        <f t="shared" si="15"/>
        <v>40452</v>
      </c>
      <c r="C85" s="175">
        <v>40543</v>
      </c>
      <c r="D85" s="176">
        <f t="shared" si="16"/>
        <v>92</v>
      </c>
      <c r="E85" s="176">
        <v>3.25</v>
      </c>
      <c r="F85" s="177">
        <f>F$65+G$68-SUM(H$67:H84)-SUM(I$67:I84)</f>
        <v>14767.281094358419</v>
      </c>
      <c r="G85" s="302">
        <f t="shared" si="18"/>
        <v>120.97033006063474</v>
      </c>
      <c r="H85" s="302">
        <f t="shared" si="19"/>
        <v>7029.1611111111106</v>
      </c>
      <c r="I85" s="303">
        <f t="shared" si="17"/>
        <v>354.48768606809625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2">
      <c r="A86" s="180" t="s">
        <v>115</v>
      </c>
      <c r="B86" s="175">
        <f t="shared" si="15"/>
        <v>40544</v>
      </c>
      <c r="C86" s="175">
        <v>40633</v>
      </c>
      <c r="D86" s="176">
        <f t="shared" si="16"/>
        <v>90</v>
      </c>
      <c r="E86" s="176">
        <v>3.25</v>
      </c>
      <c r="F86" s="177">
        <f>F$65+G$68-SUM(H$67:H85)-SUM(I$67:I85)</f>
        <v>7383.6322971792097</v>
      </c>
      <c r="G86" s="302">
        <f t="shared" si="18"/>
        <v>59.17020402534024</v>
      </c>
      <c r="H86" s="302">
        <f t="shared" si="19"/>
        <v>7029.1611111111106</v>
      </c>
      <c r="I86" s="303">
        <f t="shared" si="17"/>
        <v>354.48768606809625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2">
      <c r="A87" s="181" t="s">
        <v>116</v>
      </c>
      <c r="B87" s="182">
        <f t="shared" si="15"/>
        <v>40634</v>
      </c>
      <c r="C87" s="182">
        <v>40724</v>
      </c>
      <c r="D87" s="183">
        <f t="shared" si="16"/>
        <v>91</v>
      </c>
      <c r="E87" s="176">
        <v>3.25</v>
      </c>
      <c r="F87" s="177">
        <f>F$65+G$68-SUM(H$67:H86)-SUM(I$67:I86)</f>
        <v>-1.6499999998814019E-2</v>
      </c>
      <c r="G87" s="309">
        <f t="shared" si="18"/>
        <v>-1.3369520546984237E-4</v>
      </c>
      <c r="H87" s="302"/>
      <c r="I87" s="310">
        <v>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2">
      <c r="A88" s="1"/>
      <c r="B88" s="1"/>
      <c r="C88" s="1"/>
      <c r="D88" s="1"/>
      <c r="E88" s="1"/>
      <c r="F88" s="1"/>
      <c r="G88" s="311"/>
      <c r="H88" s="311">
        <f>SUM(H66:H87)</f>
        <v>159581.0465</v>
      </c>
      <c r="I88" s="31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2">
      <c r="A89" s="270"/>
      <c r="B89" s="270"/>
      <c r="C89" s="1"/>
      <c r="D89" s="1"/>
      <c r="E89" s="1"/>
      <c r="F89" s="1"/>
      <c r="G89" s="1"/>
      <c r="H89" s="1"/>
      <c r="I89" s="31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3.5" thickBot="1" x14ac:dyDescent="0.25">
      <c r="A90" s="350" t="s">
        <v>176</v>
      </c>
      <c r="B90" s="270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2">
      <c r="A91" s="367" t="s">
        <v>175</v>
      </c>
      <c r="B91" s="352" t="s">
        <v>89</v>
      </c>
      <c r="C91" s="352" t="s">
        <v>161</v>
      </c>
      <c r="D91" s="353" t="s">
        <v>173</v>
      </c>
      <c r="E91" s="352" t="s">
        <v>162</v>
      </c>
      <c r="F91" s="353" t="s">
        <v>174</v>
      </c>
      <c r="G91" s="368" t="s">
        <v>177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2">
      <c r="A92" s="355" t="s">
        <v>166</v>
      </c>
      <c r="B92" s="312">
        <f>4980690.16+251786.57</f>
        <v>5232476.7300000004</v>
      </c>
      <c r="C92" s="312">
        <f>-251786.57-(2797*10)</f>
        <v>-279756.57</v>
      </c>
      <c r="D92" s="312">
        <f t="shared" ref="D92:D97" si="20">C92+B92</f>
        <v>4952720.16</v>
      </c>
      <c r="E92" s="312">
        <f>(D92-(261624*10))/10</f>
        <v>233648.016</v>
      </c>
      <c r="F92" s="312">
        <f t="shared" ref="F92:F97" si="21">B92/20</f>
        <v>261623.83650000003</v>
      </c>
      <c r="G92" s="369">
        <v>233647.55</v>
      </c>
      <c r="H92" s="277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2">
      <c r="A93" s="355" t="s">
        <v>167</v>
      </c>
      <c r="B93" s="312">
        <f>986632.33+49876.78</f>
        <v>1036509.11</v>
      </c>
      <c r="C93" s="312">
        <f>-49876.78-(555*10)</f>
        <v>-55426.78</v>
      </c>
      <c r="D93" s="312">
        <f t="shared" si="20"/>
        <v>981082.33</v>
      </c>
      <c r="E93" s="312">
        <f>(D93-(51825*10))/10</f>
        <v>46283.232999999993</v>
      </c>
      <c r="F93" s="312">
        <f t="shared" si="21"/>
        <v>51825.455499999996</v>
      </c>
      <c r="G93" s="369">
        <v>46283.6</v>
      </c>
      <c r="H93" s="277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2">
      <c r="A94" s="355" t="s">
        <v>168</v>
      </c>
      <c r="B94" s="312">
        <f>2403052.57+121480.43</f>
        <v>2524533</v>
      </c>
      <c r="C94" s="312">
        <f>-121480.43-(1349*10)</f>
        <v>-134970.43</v>
      </c>
      <c r="D94" s="312">
        <f t="shared" si="20"/>
        <v>2389562.5699999998</v>
      </c>
      <c r="E94" s="312">
        <f>(D94-(126227*10))/10</f>
        <v>112729.25699999998</v>
      </c>
      <c r="F94" s="312">
        <f t="shared" si="21"/>
        <v>126226.65</v>
      </c>
      <c r="G94" s="369">
        <v>112728.82</v>
      </c>
      <c r="H94" s="277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2">
      <c r="A95" s="355" t="s">
        <v>169</v>
      </c>
      <c r="B95" s="312">
        <f>548936.64+27750.15</f>
        <v>576686.79</v>
      </c>
      <c r="C95" s="312">
        <f>-27750.15-(309*10)</f>
        <v>-30840.15</v>
      </c>
      <c r="D95" s="312">
        <f t="shared" si="20"/>
        <v>545846.64</v>
      </c>
      <c r="E95" s="312">
        <f>(D95-(28834*10))/10</f>
        <v>25750.664000000001</v>
      </c>
      <c r="F95" s="312">
        <f t="shared" si="21"/>
        <v>28834.339500000002</v>
      </c>
      <c r="G95" s="369">
        <v>25750.99</v>
      </c>
      <c r="H95" s="277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2">
      <c r="A96" s="355" t="s">
        <v>170</v>
      </c>
      <c r="B96" s="312">
        <f>1646809.63+83250.44</f>
        <v>1730060.0699999998</v>
      </c>
      <c r="C96" s="312">
        <f>-83250.44-(925*10)</f>
        <v>-92500.44</v>
      </c>
      <c r="D96" s="312">
        <f t="shared" si="20"/>
        <v>1637559.63</v>
      </c>
      <c r="E96" s="312">
        <f>(D96-(86503*10))/10</f>
        <v>77252.962999999989</v>
      </c>
      <c r="F96" s="312">
        <f t="shared" si="21"/>
        <v>86503.003499999992</v>
      </c>
      <c r="G96" s="369">
        <v>77252.97</v>
      </c>
      <c r="H96" s="27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2">
      <c r="A97" s="355" t="s">
        <v>171</v>
      </c>
      <c r="B97" s="312">
        <f>261161.66+13202.39</f>
        <v>274364.05</v>
      </c>
      <c r="C97" s="312">
        <f>-13202.39-(147*10)</f>
        <v>-14672.39</v>
      </c>
      <c r="D97" s="312">
        <f t="shared" si="20"/>
        <v>259691.65999999997</v>
      </c>
      <c r="E97" s="312">
        <f>(D97-(13718*10))/10</f>
        <v>12251.165999999997</v>
      </c>
      <c r="F97" s="312">
        <f t="shared" si="21"/>
        <v>13718.202499999999</v>
      </c>
      <c r="G97" s="369">
        <v>12251.27</v>
      </c>
      <c r="H97" s="277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2">
      <c r="A98" s="355"/>
      <c r="B98" s="312">
        <f t="shared" ref="B98:G98" si="22">SUM(B92:B97)</f>
        <v>11374629.75</v>
      </c>
      <c r="C98" s="312">
        <f t="shared" si="22"/>
        <v>-608166.76</v>
      </c>
      <c r="D98" s="312">
        <f t="shared" si="22"/>
        <v>10766462.990000002</v>
      </c>
      <c r="E98" s="312">
        <f t="shared" si="22"/>
        <v>507915.299</v>
      </c>
      <c r="F98" s="312">
        <f t="shared" si="22"/>
        <v>568731.48750000005</v>
      </c>
      <c r="G98" s="369">
        <f t="shared" si="22"/>
        <v>507915.19999999995</v>
      </c>
      <c r="H98" s="277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2">
      <c r="A99" s="355"/>
      <c r="B99" s="312"/>
      <c r="C99" s="312"/>
      <c r="D99" s="312"/>
      <c r="E99" s="312"/>
      <c r="F99" s="312"/>
      <c r="G99" s="369"/>
      <c r="H99" s="277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x14ac:dyDescent="0.2">
      <c r="A100" s="355"/>
      <c r="B100" s="312"/>
      <c r="C100" s="312"/>
      <c r="D100" s="312"/>
      <c r="E100" s="312"/>
      <c r="F100" s="312"/>
      <c r="G100" s="369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x14ac:dyDescent="0.2">
      <c r="A101" s="355"/>
      <c r="B101" s="312"/>
      <c r="C101" s="312"/>
      <c r="D101" s="312"/>
      <c r="E101" s="312"/>
      <c r="F101" s="312"/>
      <c r="G101" s="369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3.5" thickBot="1" x14ac:dyDescent="0.25">
      <c r="A102" s="358"/>
      <c r="B102" s="370"/>
      <c r="C102" s="370"/>
      <c r="D102" s="370"/>
      <c r="E102" s="370"/>
      <c r="F102" s="370"/>
      <c r="G102" s="37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3.5" thickBo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x14ac:dyDescent="0.2">
      <c r="A105" s="367" t="s">
        <v>175</v>
      </c>
      <c r="B105" s="353" t="s">
        <v>163</v>
      </c>
      <c r="C105" s="352" t="s">
        <v>161</v>
      </c>
      <c r="D105" s="353" t="s">
        <v>172</v>
      </c>
      <c r="E105" s="352" t="s">
        <v>164</v>
      </c>
      <c r="F105" s="352" t="s">
        <v>165</v>
      </c>
      <c r="G105" s="279" t="s">
        <v>177</v>
      </c>
      <c r="H105" s="31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x14ac:dyDescent="0.2">
      <c r="A106" s="355" t="s">
        <v>166</v>
      </c>
      <c r="B106" s="312">
        <f>69876.88+3932-(40*10)</f>
        <v>73408.88</v>
      </c>
      <c r="C106" s="312">
        <f>-3532.45-(40*10)</f>
        <v>-3932.45</v>
      </c>
      <c r="D106" s="312">
        <f t="shared" ref="D106:D111" si="23">C106+B106</f>
        <v>69476.430000000008</v>
      </c>
      <c r="E106" s="312">
        <f>(D106-(3670*10))/10</f>
        <v>3277.6430000000009</v>
      </c>
      <c r="F106" s="312">
        <v>3670.47</v>
      </c>
      <c r="G106" s="314">
        <v>3277.98</v>
      </c>
      <c r="H106" s="315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x14ac:dyDescent="0.2">
      <c r="A107" s="355" t="s">
        <v>167</v>
      </c>
      <c r="B107" s="312">
        <f>13842.01+780-(8*10)</f>
        <v>14542.01</v>
      </c>
      <c r="C107" s="312">
        <f>-699.75-(8*10)</f>
        <v>-779.75</v>
      </c>
      <c r="D107" s="312">
        <f t="shared" si="23"/>
        <v>13762.26</v>
      </c>
      <c r="E107" s="312">
        <f>(D107-(727*10))/10</f>
        <v>649.226</v>
      </c>
      <c r="F107" s="312">
        <v>727.09</v>
      </c>
      <c r="G107" s="314">
        <v>649.34</v>
      </c>
      <c r="H107" s="315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x14ac:dyDescent="0.2">
      <c r="A108" s="355" t="s">
        <v>168</v>
      </c>
      <c r="B108" s="312">
        <f>33713.76+1894-(19*10)</f>
        <v>35417.760000000002</v>
      </c>
      <c r="C108" s="312">
        <f>-1704.32-(19*10)</f>
        <v>-1894.32</v>
      </c>
      <c r="D108" s="312">
        <f t="shared" si="23"/>
        <v>33523.440000000002</v>
      </c>
      <c r="E108" s="312">
        <f>(D108-(1771*10))/10</f>
        <v>1581.3440000000003</v>
      </c>
      <c r="F108" s="312">
        <v>1770.9</v>
      </c>
      <c r="G108" s="314">
        <v>1581.53</v>
      </c>
      <c r="H108" s="315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x14ac:dyDescent="0.2">
      <c r="A109" s="355" t="s">
        <v>169</v>
      </c>
      <c r="B109" s="312">
        <f>7701.34+429-(4*10)</f>
        <v>8090.34</v>
      </c>
      <c r="C109" s="312">
        <f>-389.32-(4*10)</f>
        <v>-429.32</v>
      </c>
      <c r="D109" s="312">
        <f t="shared" si="23"/>
        <v>7661.02</v>
      </c>
      <c r="E109" s="312">
        <f>(D109-(405*10))/10</f>
        <v>361.10200000000003</v>
      </c>
      <c r="F109" s="312">
        <v>404.53</v>
      </c>
      <c r="G109" s="314">
        <v>361.27</v>
      </c>
      <c r="H109" s="31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x14ac:dyDescent="0.2">
      <c r="A110" s="355" t="s">
        <v>170</v>
      </c>
      <c r="B110" s="312">
        <f>23104.01+1289-(13*10)</f>
        <v>24263.01</v>
      </c>
      <c r="C110" s="312">
        <f>-1167.97-(13*10)</f>
        <v>-1297.97</v>
      </c>
      <c r="D110" s="312">
        <f t="shared" si="23"/>
        <v>22965.039999999997</v>
      </c>
      <c r="E110" s="312">
        <f>(D110-(1214*10))/10</f>
        <v>1082.5039999999997</v>
      </c>
      <c r="F110" s="312">
        <v>1216.5999999999999</v>
      </c>
      <c r="G110" s="314">
        <v>1083.83</v>
      </c>
      <c r="H110" s="315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x14ac:dyDescent="0.2">
      <c r="A111" s="355" t="s">
        <v>171</v>
      </c>
      <c r="B111" s="312">
        <f>3663.99+215-(2*10)</f>
        <v>3858.99</v>
      </c>
      <c r="C111" s="312">
        <f>-185.22-(3*10)</f>
        <v>-215.22</v>
      </c>
      <c r="D111" s="312">
        <f t="shared" si="23"/>
        <v>3643.77</v>
      </c>
      <c r="E111" s="312">
        <f>(D111-(192*10))/10</f>
        <v>172.37700000000001</v>
      </c>
      <c r="F111" s="312">
        <v>192.46</v>
      </c>
      <c r="G111" s="314">
        <v>171.88</v>
      </c>
      <c r="H111" s="315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x14ac:dyDescent="0.2">
      <c r="A112" s="355"/>
      <c r="B112" s="312">
        <f>SUM(B106:B111)</f>
        <v>159580.99</v>
      </c>
      <c r="C112" s="312">
        <f>SUM(C106:C111)</f>
        <v>-8549.0299999999988</v>
      </c>
      <c r="D112" s="312">
        <f>SUM(D106:D111)</f>
        <v>151031.96</v>
      </c>
      <c r="E112" s="312">
        <f>SUM(E106:E111)</f>
        <v>7124.1960000000017</v>
      </c>
      <c r="F112" s="312">
        <f>B112/20</f>
        <v>7979.0494999999992</v>
      </c>
      <c r="G112" s="314">
        <f>SUM(G106:G111)</f>
        <v>7125.8300000000008</v>
      </c>
      <c r="H112" s="315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x14ac:dyDescent="0.2">
      <c r="A113" s="355"/>
      <c r="B113" s="312"/>
      <c r="C113" s="312"/>
      <c r="D113" s="312"/>
      <c r="E113" s="312">
        <f>E112*20</f>
        <v>142483.92000000004</v>
      </c>
      <c r="F113" s="312">
        <f>SUM(F106:F112)</f>
        <v>15961.099499999997</v>
      </c>
      <c r="G113" s="314"/>
      <c r="H113" s="315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x14ac:dyDescent="0.2">
      <c r="A114" s="372"/>
      <c r="B114" s="312"/>
      <c r="C114" s="312"/>
      <c r="D114" s="312"/>
      <c r="E114" s="312"/>
      <c r="F114" s="312"/>
      <c r="G114" s="281"/>
      <c r="H114" s="315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3.5" thickBot="1" x14ac:dyDescent="0.25">
      <c r="A115" s="373"/>
      <c r="B115" s="370"/>
      <c r="C115" s="370"/>
      <c r="D115" s="370"/>
      <c r="E115" s="370"/>
      <c r="F115" s="280"/>
      <c r="G115" s="316"/>
      <c r="H115" s="317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x14ac:dyDescent="0.2">
      <c r="A116" s="312"/>
      <c r="B116" s="312"/>
      <c r="C116" s="312"/>
      <c r="D116" s="312"/>
      <c r="E116" s="1"/>
      <c r="F116" s="27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x14ac:dyDescent="0.2">
      <c r="A118" s="1"/>
      <c r="B118" s="1"/>
      <c r="C118" s="1"/>
      <c r="D118" s="1"/>
      <c r="E118" s="1"/>
      <c r="F118" s="27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W120" s="1"/>
      <c r="X120" s="1"/>
    </row>
    <row r="121" spans="1:24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W121" s="1"/>
      <c r="X121" s="1"/>
    </row>
    <row r="125" spans="1:24" x14ac:dyDescent="0.2">
      <c r="A125" s="271"/>
    </row>
  </sheetData>
  <customSheetViews>
    <customSheetView guid="{6086CA2F-D319-4FB4-8773-987A9787386E}" scale="75" showRuler="0" topLeftCell="A4">
      <selection sqref="A1:IV65536"/>
      <rowBreaks count="1" manualBreakCount="1">
        <brk id="33" max="16383" man="1"/>
      </rowBreaks>
      <pageMargins left="0.75" right="0.75" top="1" bottom="1" header="0.5" footer="0.5"/>
      <pageSetup scale="63" orientation="landscape" r:id="rId1"/>
      <headerFooter alignWithMargins="0">
        <oddFooter>&amp;L&amp;D&amp;R&amp;A</oddFooter>
      </headerFooter>
    </customSheetView>
  </customSheetViews>
  <mergeCells count="3">
    <mergeCell ref="E42:F42"/>
    <mergeCell ref="E68:F68"/>
    <mergeCell ref="A35:B35"/>
  </mergeCells>
  <phoneticPr fontId="2" type="noConversion"/>
  <pageMargins left="0.5" right="0.5" top="1" bottom="0.89" header="0.5" footer="0.5"/>
  <pageSetup scale="61" orientation="landscape" r:id="rId2"/>
  <headerFooter alignWithMargins="0">
    <oddHeader>&amp;C&amp;A&amp;RAttachment 4
WP-Schedule 22 
&amp;P of &amp;N</oddHeader>
  </headerFooter>
  <rowBreaks count="1" manualBreakCount="1">
    <brk id="3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 enableFormatConditionsCalculation="0">
    <tabColor theme="0" tint="-4.9989318521683403E-2"/>
  </sheetPr>
  <dimension ref="A1:X129"/>
  <sheetViews>
    <sheetView view="pageBreakPreview" topLeftCell="A34" zoomScale="60" zoomScaleNormal="85" workbookViewId="0">
      <selection activeCell="F47" sqref="F47"/>
    </sheetView>
  </sheetViews>
  <sheetFormatPr defaultRowHeight="12.75" x14ac:dyDescent="0.2"/>
  <cols>
    <col min="1" max="1" width="11.42578125" style="22" customWidth="1"/>
    <col min="2" max="2" width="15.28515625" style="22" customWidth="1"/>
    <col min="3" max="6" width="17.7109375" style="22" customWidth="1"/>
    <col min="7" max="7" width="14.85546875" style="22" customWidth="1"/>
    <col min="8" max="11" width="17.7109375" style="22" customWidth="1"/>
    <col min="12" max="12" width="12" style="22" customWidth="1"/>
    <col min="13" max="13" width="14" style="22" bestFit="1" customWidth="1"/>
    <col min="14" max="14" width="10.7109375" style="22" bestFit="1" customWidth="1"/>
    <col min="15" max="15" width="30.5703125" style="22" bestFit="1" customWidth="1"/>
    <col min="16" max="16" width="15.28515625" style="22" bestFit="1" customWidth="1"/>
    <col min="17" max="17" width="14.28515625" style="22" bestFit="1" customWidth="1"/>
    <col min="18" max="19" width="15.28515625" style="22" bestFit="1" customWidth="1"/>
    <col min="20" max="20" width="9.140625" style="22"/>
    <col min="21" max="21" width="22.85546875" style="22" bestFit="1" customWidth="1"/>
    <col min="22" max="22" width="14.28515625" style="22" bestFit="1" customWidth="1"/>
    <col min="23" max="24" width="15.28515625" style="22" bestFit="1" customWidth="1"/>
    <col min="25" max="16384" width="9.140625" style="22"/>
  </cols>
  <sheetData>
    <row r="1" spans="1:24" ht="15" x14ac:dyDescent="0.25">
      <c r="A1" s="42"/>
      <c r="B1" s="42"/>
      <c r="C1" s="406" t="s">
        <v>96</v>
      </c>
      <c r="D1" s="406"/>
      <c r="E1" s="406"/>
      <c r="F1" s="406"/>
      <c r="H1" s="406" t="s">
        <v>99</v>
      </c>
      <c r="I1" s="406"/>
      <c r="J1" s="406"/>
      <c r="K1" s="406"/>
      <c r="P1" s="22" t="s">
        <v>96</v>
      </c>
      <c r="U1" s="22" t="s">
        <v>99</v>
      </c>
    </row>
    <row r="2" spans="1:24" ht="45" customHeight="1" x14ac:dyDescent="0.2">
      <c r="A2" s="3" t="s">
        <v>71</v>
      </c>
      <c r="B2" s="4" t="s">
        <v>8</v>
      </c>
      <c r="C2" s="3" t="s">
        <v>7</v>
      </c>
      <c r="D2" s="3" t="s">
        <v>1</v>
      </c>
      <c r="E2" s="3" t="s">
        <v>86</v>
      </c>
      <c r="F2" s="4" t="s">
        <v>0</v>
      </c>
      <c r="H2" s="3" t="s">
        <v>7</v>
      </c>
      <c r="I2" s="3" t="s">
        <v>1</v>
      </c>
      <c r="J2" s="3" t="s">
        <v>86</v>
      </c>
      <c r="K2" s="4" t="s">
        <v>0</v>
      </c>
      <c r="N2" s="3" t="s">
        <v>71</v>
      </c>
      <c r="O2" s="3" t="s">
        <v>8</v>
      </c>
      <c r="P2" s="3" t="s">
        <v>7</v>
      </c>
      <c r="Q2" s="4" t="s">
        <v>1</v>
      </c>
      <c r="R2" s="3" t="s">
        <v>86</v>
      </c>
      <c r="S2" s="3" t="s">
        <v>0</v>
      </c>
      <c r="U2" s="3" t="s">
        <v>7</v>
      </c>
      <c r="V2" s="3" t="s">
        <v>1</v>
      </c>
      <c r="W2" s="3" t="s">
        <v>86</v>
      </c>
      <c r="X2" s="4" t="s">
        <v>0</v>
      </c>
    </row>
    <row r="3" spans="1:24" x14ac:dyDescent="0.2">
      <c r="A3" s="39">
        <v>1</v>
      </c>
      <c r="B3" s="11">
        <v>37468</v>
      </c>
      <c r="C3" s="40">
        <v>1302355.06</v>
      </c>
      <c r="D3" s="43">
        <v>273592.33</v>
      </c>
      <c r="E3" s="43">
        <v>0</v>
      </c>
      <c r="F3" s="44">
        <f>SUM(C3:E3)</f>
        <v>1575947.3900000001</v>
      </c>
      <c r="H3" s="45">
        <f>ROUND(C3*0.5825,2)</f>
        <v>758621.82</v>
      </c>
      <c r="I3" s="45">
        <f>ROUND(D3*0.5825,2)</f>
        <v>159367.53</v>
      </c>
      <c r="J3" s="45">
        <f>ROUND(E3*0.5825,2)</f>
        <v>0</v>
      </c>
      <c r="K3" s="44">
        <f t="shared" ref="K3:K25" si="0">SUM(H3:J3)</f>
        <v>917989.35</v>
      </c>
      <c r="N3" s="284">
        <v>1</v>
      </c>
      <c r="O3" s="45">
        <v>37468</v>
      </c>
      <c r="P3" s="45">
        <v>1302355.06</v>
      </c>
      <c r="Q3" s="44">
        <v>273592.33</v>
      </c>
      <c r="R3" s="45">
        <v>0</v>
      </c>
      <c r="S3" s="45">
        <v>1575947.3900000001</v>
      </c>
      <c r="U3" s="45">
        <v>758621.82</v>
      </c>
      <c r="V3" s="45">
        <v>159367.53</v>
      </c>
      <c r="W3" s="45">
        <v>0</v>
      </c>
      <c r="X3" s="44">
        <v>917989.35</v>
      </c>
    </row>
    <row r="4" spans="1:24" x14ac:dyDescent="0.2">
      <c r="A4" s="39">
        <f>+A3+1</f>
        <v>2</v>
      </c>
      <c r="B4" s="11">
        <v>37468</v>
      </c>
      <c r="C4" s="40">
        <v>1596486.08</v>
      </c>
      <c r="D4" s="43">
        <v>335381.92</v>
      </c>
      <c r="E4" s="43">
        <v>0</v>
      </c>
      <c r="F4" s="44">
        <f>SUM(C4:E4)</f>
        <v>1931868</v>
      </c>
      <c r="H4" s="45">
        <f t="shared" ref="H4:J25" si="1">ROUND(C4*0.5825,2)</f>
        <v>929953.14</v>
      </c>
      <c r="I4" s="45">
        <f t="shared" si="1"/>
        <v>195359.97</v>
      </c>
      <c r="J4" s="45">
        <f t="shared" si="1"/>
        <v>0</v>
      </c>
      <c r="K4" s="44">
        <f t="shared" si="0"/>
        <v>1125313.1100000001</v>
      </c>
      <c r="N4" s="284">
        <v>2</v>
      </c>
      <c r="O4" s="45">
        <v>37468</v>
      </c>
      <c r="P4" s="45">
        <v>1596486.08</v>
      </c>
      <c r="Q4" s="44">
        <v>335381.92</v>
      </c>
      <c r="R4" s="45">
        <v>0</v>
      </c>
      <c r="S4" s="45">
        <v>1931868</v>
      </c>
      <c r="U4" s="45">
        <v>929953.14</v>
      </c>
      <c r="V4" s="45">
        <v>195359.97</v>
      </c>
      <c r="W4" s="45">
        <v>0</v>
      </c>
      <c r="X4" s="44">
        <v>1125313.1100000001</v>
      </c>
    </row>
    <row r="5" spans="1:24" x14ac:dyDescent="0.2">
      <c r="A5" s="39">
        <f t="shared" ref="A5:A24" si="2">+A4+1</f>
        <v>3</v>
      </c>
      <c r="B5" s="11">
        <v>37498</v>
      </c>
      <c r="C5" s="40">
        <v>1848614.24</v>
      </c>
      <c r="D5" s="43">
        <v>388347.73</v>
      </c>
      <c r="E5" s="43">
        <v>0</v>
      </c>
      <c r="F5" s="44">
        <f>SUM(C5:E5)</f>
        <v>2236961.9699999997</v>
      </c>
      <c r="H5" s="45">
        <f t="shared" si="1"/>
        <v>1076817.79</v>
      </c>
      <c r="I5" s="45">
        <f t="shared" si="1"/>
        <v>226212.55</v>
      </c>
      <c r="J5" s="45">
        <f t="shared" si="1"/>
        <v>0</v>
      </c>
      <c r="K5" s="44">
        <f t="shared" si="0"/>
        <v>1303030.3400000001</v>
      </c>
      <c r="N5" s="284">
        <v>3</v>
      </c>
      <c r="O5" s="45">
        <v>37498</v>
      </c>
      <c r="P5" s="45">
        <v>1848614.24</v>
      </c>
      <c r="Q5" s="44">
        <v>388347.73</v>
      </c>
      <c r="R5" s="45">
        <v>0</v>
      </c>
      <c r="S5" s="45">
        <v>2236961.9699999997</v>
      </c>
      <c r="U5" s="45">
        <v>1076817.79</v>
      </c>
      <c r="V5" s="45">
        <v>226212.55</v>
      </c>
      <c r="W5" s="45">
        <v>0</v>
      </c>
      <c r="X5" s="44">
        <v>1303030.3400000001</v>
      </c>
    </row>
    <row r="6" spans="1:24" x14ac:dyDescent="0.2">
      <c r="A6" s="39">
        <f t="shared" si="2"/>
        <v>4</v>
      </c>
      <c r="B6" s="11">
        <v>37537</v>
      </c>
      <c r="C6" s="40">
        <v>1770701.71</v>
      </c>
      <c r="D6" s="43">
        <v>371980.28</v>
      </c>
      <c r="E6" s="43">
        <v>0</v>
      </c>
      <c r="F6" s="44">
        <f t="shared" ref="F6:F30" si="3">SUM(C6:E6)</f>
        <v>2142681.9900000002</v>
      </c>
      <c r="H6" s="45">
        <f t="shared" si="1"/>
        <v>1031433.75</v>
      </c>
      <c r="I6" s="45">
        <f t="shared" si="1"/>
        <v>216678.51</v>
      </c>
      <c r="J6" s="45">
        <f t="shared" si="1"/>
        <v>0</v>
      </c>
      <c r="K6" s="44">
        <f t="shared" si="0"/>
        <v>1248112.26</v>
      </c>
      <c r="N6" s="284">
        <v>4</v>
      </c>
      <c r="O6" s="45">
        <v>37537</v>
      </c>
      <c r="P6" s="45">
        <v>1770701.71</v>
      </c>
      <c r="Q6" s="44">
        <v>371980.28</v>
      </c>
      <c r="R6" s="45">
        <v>0</v>
      </c>
      <c r="S6" s="45">
        <v>2142681.9900000002</v>
      </c>
      <c r="U6" s="45">
        <v>1031433.75</v>
      </c>
      <c r="V6" s="45">
        <v>216678.51</v>
      </c>
      <c r="W6" s="45">
        <v>0</v>
      </c>
      <c r="X6" s="44">
        <v>1248112.26</v>
      </c>
    </row>
    <row r="7" spans="1:24" x14ac:dyDescent="0.2">
      <c r="A7" s="39">
        <f t="shared" si="2"/>
        <v>5</v>
      </c>
      <c r="B7" s="11">
        <v>37619</v>
      </c>
      <c r="C7" s="40">
        <v>0</v>
      </c>
      <c r="D7" s="43">
        <v>874487.74</v>
      </c>
      <c r="E7" s="43">
        <v>0</v>
      </c>
      <c r="F7" s="44">
        <f t="shared" si="3"/>
        <v>874487.74</v>
      </c>
      <c r="H7" s="45">
        <f t="shared" si="1"/>
        <v>0</v>
      </c>
      <c r="I7" s="45">
        <f t="shared" si="1"/>
        <v>509389.11</v>
      </c>
      <c r="J7" s="45">
        <f t="shared" si="1"/>
        <v>0</v>
      </c>
      <c r="K7" s="44">
        <f t="shared" si="0"/>
        <v>509389.11</v>
      </c>
      <c r="N7" s="284">
        <v>5</v>
      </c>
      <c r="O7" s="45">
        <v>37619</v>
      </c>
      <c r="P7" s="45">
        <v>0</v>
      </c>
      <c r="Q7" s="44">
        <v>874487.74</v>
      </c>
      <c r="R7" s="45">
        <v>0</v>
      </c>
      <c r="S7" s="45">
        <v>874487.74</v>
      </c>
      <c r="U7" s="45">
        <v>0</v>
      </c>
      <c r="V7" s="45">
        <v>509389.11</v>
      </c>
      <c r="W7" s="45">
        <v>0</v>
      </c>
      <c r="X7" s="44">
        <v>509389.11</v>
      </c>
    </row>
    <row r="8" spans="1:24" x14ac:dyDescent="0.2">
      <c r="A8" s="39">
        <f t="shared" si="2"/>
        <v>6</v>
      </c>
      <c r="B8" s="11">
        <v>37673</v>
      </c>
      <c r="C8" s="40">
        <v>-4456459.05</v>
      </c>
      <c r="D8" s="43">
        <v>-936190.94</v>
      </c>
      <c r="E8" s="43">
        <v>0</v>
      </c>
      <c r="F8" s="44">
        <f t="shared" si="3"/>
        <v>-5392649.9900000002</v>
      </c>
      <c r="H8" s="45">
        <f t="shared" si="1"/>
        <v>-2595887.4</v>
      </c>
      <c r="I8" s="45">
        <f t="shared" si="1"/>
        <v>-545331.22</v>
      </c>
      <c r="J8" s="45">
        <f t="shared" si="1"/>
        <v>0</v>
      </c>
      <c r="K8" s="44">
        <f t="shared" si="0"/>
        <v>-3141218.62</v>
      </c>
      <c r="N8" s="284">
        <v>6</v>
      </c>
      <c r="O8" s="45">
        <v>37673</v>
      </c>
      <c r="P8" s="45">
        <v>-4456459.05</v>
      </c>
      <c r="Q8" s="44">
        <v>-936190.94</v>
      </c>
      <c r="R8" s="45">
        <v>0</v>
      </c>
      <c r="S8" s="45">
        <v>-5392649.9900000002</v>
      </c>
      <c r="U8" s="45">
        <v>-2595887.4</v>
      </c>
      <c r="V8" s="45">
        <v>-545331.22</v>
      </c>
      <c r="W8" s="45">
        <v>0</v>
      </c>
      <c r="X8" s="44">
        <v>-3141218.62</v>
      </c>
    </row>
    <row r="9" spans="1:24" x14ac:dyDescent="0.2">
      <c r="A9" s="39">
        <f t="shared" si="2"/>
        <v>7</v>
      </c>
      <c r="B9" s="11">
        <v>37768</v>
      </c>
      <c r="C9" s="40">
        <v>-172067.84</v>
      </c>
      <c r="D9" s="43">
        <v>-36147.17</v>
      </c>
      <c r="E9" s="43">
        <v>0</v>
      </c>
      <c r="F9" s="44">
        <f t="shared" si="3"/>
        <v>-208215.01</v>
      </c>
      <c r="H9" s="45">
        <f t="shared" si="1"/>
        <v>-100229.52</v>
      </c>
      <c r="I9" s="45">
        <f t="shared" si="1"/>
        <v>-21055.73</v>
      </c>
      <c r="J9" s="45">
        <f t="shared" si="1"/>
        <v>0</v>
      </c>
      <c r="K9" s="44">
        <f t="shared" si="0"/>
        <v>-121285.25</v>
      </c>
      <c r="N9" s="284">
        <v>7</v>
      </c>
      <c r="O9" s="45">
        <v>37768</v>
      </c>
      <c r="P9" s="45">
        <v>-172067.84</v>
      </c>
      <c r="Q9" s="44">
        <v>-36147.17</v>
      </c>
      <c r="R9" s="45">
        <v>0</v>
      </c>
      <c r="S9" s="45">
        <v>-208215.01</v>
      </c>
      <c r="U9" s="45">
        <v>-100229.52</v>
      </c>
      <c r="V9" s="45">
        <v>-21055.73</v>
      </c>
      <c r="W9" s="45">
        <v>0</v>
      </c>
      <c r="X9" s="44">
        <v>-121285.25</v>
      </c>
    </row>
    <row r="10" spans="1:24" x14ac:dyDescent="0.2">
      <c r="A10" s="39">
        <f t="shared" si="2"/>
        <v>8</v>
      </c>
      <c r="B10" s="11">
        <v>37824</v>
      </c>
      <c r="C10" s="40">
        <v>-12261.84</v>
      </c>
      <c r="D10" s="43">
        <v>-2575.91</v>
      </c>
      <c r="E10" s="43">
        <v>0</v>
      </c>
      <c r="F10" s="44">
        <f t="shared" si="3"/>
        <v>-14837.75</v>
      </c>
      <c r="H10" s="45">
        <f t="shared" si="1"/>
        <v>-7142.52</v>
      </c>
      <c r="I10" s="45">
        <f t="shared" si="1"/>
        <v>-1500.47</v>
      </c>
      <c r="J10" s="45">
        <f t="shared" si="1"/>
        <v>0</v>
      </c>
      <c r="K10" s="44">
        <f t="shared" si="0"/>
        <v>-8642.99</v>
      </c>
      <c r="N10" s="284">
        <v>8</v>
      </c>
      <c r="O10" s="45">
        <v>37824</v>
      </c>
      <c r="P10" s="45">
        <v>-12261.84</v>
      </c>
      <c r="Q10" s="44">
        <v>-2575.91</v>
      </c>
      <c r="R10" s="45">
        <v>0</v>
      </c>
      <c r="S10" s="45">
        <v>-14837.75</v>
      </c>
      <c r="U10" s="45">
        <v>-7142.52</v>
      </c>
      <c r="V10" s="45">
        <v>-1500.47</v>
      </c>
      <c r="W10" s="45">
        <v>0</v>
      </c>
      <c r="X10" s="44">
        <v>-8642.99</v>
      </c>
    </row>
    <row r="11" spans="1:24" x14ac:dyDescent="0.2">
      <c r="A11" s="39" t="s">
        <v>5</v>
      </c>
      <c r="B11" s="11">
        <v>37867</v>
      </c>
      <c r="C11" s="40">
        <v>727734.95</v>
      </c>
      <c r="D11" s="43">
        <v>124568.05</v>
      </c>
      <c r="E11" s="43">
        <v>0</v>
      </c>
      <c r="F11" s="44">
        <f t="shared" si="3"/>
        <v>852303</v>
      </c>
      <c r="H11" s="45">
        <f t="shared" si="1"/>
        <v>423905.61</v>
      </c>
      <c r="I11" s="45">
        <f t="shared" si="1"/>
        <v>72560.89</v>
      </c>
      <c r="J11" s="45">
        <f t="shared" si="1"/>
        <v>0</v>
      </c>
      <c r="K11" s="44">
        <f t="shared" si="0"/>
        <v>496466.5</v>
      </c>
      <c r="N11" s="284">
        <v>9</v>
      </c>
      <c r="O11" s="45">
        <v>37867</v>
      </c>
      <c r="P11" s="45">
        <v>727734.95</v>
      </c>
      <c r="Q11" s="44">
        <v>124568.05</v>
      </c>
      <c r="R11" s="45">
        <v>0</v>
      </c>
      <c r="S11" s="45">
        <v>852303</v>
      </c>
      <c r="U11" s="45">
        <v>423905.61</v>
      </c>
      <c r="V11" s="45">
        <v>72560.89</v>
      </c>
      <c r="W11" s="45">
        <v>0</v>
      </c>
      <c r="X11" s="44">
        <v>496466.5</v>
      </c>
    </row>
    <row r="12" spans="1:24" x14ac:dyDescent="0.2">
      <c r="A12" s="39" t="e">
        <f t="shared" si="2"/>
        <v>#VALUE!</v>
      </c>
      <c r="B12" s="11">
        <v>38343</v>
      </c>
      <c r="C12" s="40">
        <v>1652235.14</v>
      </c>
      <c r="D12" s="43">
        <v>282816.84999999998</v>
      </c>
      <c r="E12" s="43">
        <v>0</v>
      </c>
      <c r="F12" s="44">
        <f t="shared" si="3"/>
        <v>1935051.9899999998</v>
      </c>
      <c r="H12" s="45">
        <f t="shared" si="1"/>
        <v>962426.97</v>
      </c>
      <c r="I12" s="45">
        <f t="shared" si="1"/>
        <v>164740.82</v>
      </c>
      <c r="J12" s="45">
        <f t="shared" si="1"/>
        <v>0</v>
      </c>
      <c r="K12" s="44">
        <f t="shared" si="0"/>
        <v>1127167.79</v>
      </c>
      <c r="N12" s="284">
        <v>10</v>
      </c>
      <c r="O12" s="45">
        <v>38343</v>
      </c>
      <c r="P12" s="45">
        <v>1652235.14</v>
      </c>
      <c r="Q12" s="44">
        <v>282816.84999999998</v>
      </c>
      <c r="R12" s="45">
        <v>0</v>
      </c>
      <c r="S12" s="45">
        <v>1935051.9899999998</v>
      </c>
      <c r="U12" s="45">
        <v>962426.97</v>
      </c>
      <c r="V12" s="45">
        <v>164740.82</v>
      </c>
      <c r="W12" s="45">
        <v>0</v>
      </c>
      <c r="X12" s="44">
        <v>1127167.79</v>
      </c>
    </row>
    <row r="13" spans="1:24" x14ac:dyDescent="0.2">
      <c r="A13" s="39" t="e">
        <f t="shared" si="2"/>
        <v>#VALUE!</v>
      </c>
      <c r="B13" s="11">
        <v>38413</v>
      </c>
      <c r="C13" s="40">
        <v>4528198.18</v>
      </c>
      <c r="D13" s="43">
        <v>1233116.82</v>
      </c>
      <c r="E13" s="43">
        <v>0</v>
      </c>
      <c r="F13" s="44">
        <f t="shared" si="3"/>
        <v>5761315</v>
      </c>
      <c r="H13" s="45">
        <f t="shared" si="1"/>
        <v>2637675.44</v>
      </c>
      <c r="I13" s="45">
        <f t="shared" si="1"/>
        <v>718290.55</v>
      </c>
      <c r="J13" s="45">
        <f t="shared" si="1"/>
        <v>0</v>
      </c>
      <c r="K13" s="44">
        <f t="shared" si="0"/>
        <v>3355965.99</v>
      </c>
      <c r="N13" s="284">
        <v>11</v>
      </c>
      <c r="O13" s="45">
        <v>38413</v>
      </c>
      <c r="P13" s="45">
        <v>4528198.18</v>
      </c>
      <c r="Q13" s="44">
        <v>1233116.82</v>
      </c>
      <c r="R13" s="45">
        <v>0</v>
      </c>
      <c r="S13" s="45">
        <v>5761315</v>
      </c>
      <c r="U13" s="45">
        <v>2637675.44</v>
      </c>
      <c r="V13" s="45">
        <v>718290.55</v>
      </c>
      <c r="W13" s="45">
        <v>0</v>
      </c>
      <c r="X13" s="44">
        <v>3355965.99</v>
      </c>
    </row>
    <row r="14" spans="1:24" x14ac:dyDescent="0.2">
      <c r="A14" s="39" t="e">
        <f t="shared" si="2"/>
        <v>#VALUE!</v>
      </c>
      <c r="B14" s="11">
        <v>38435</v>
      </c>
      <c r="C14" s="40">
        <v>303137.69</v>
      </c>
      <c r="D14" s="43">
        <v>82550.31</v>
      </c>
      <c r="E14" s="43">
        <v>0</v>
      </c>
      <c r="F14" s="44">
        <f t="shared" si="3"/>
        <v>385688</v>
      </c>
      <c r="H14" s="45">
        <f t="shared" si="1"/>
        <v>176577.7</v>
      </c>
      <c r="I14" s="45">
        <f t="shared" si="1"/>
        <v>48085.56</v>
      </c>
      <c r="J14" s="45">
        <f t="shared" si="1"/>
        <v>0</v>
      </c>
      <c r="K14" s="44">
        <f t="shared" si="0"/>
        <v>224663.26</v>
      </c>
      <c r="N14" s="284">
        <v>12</v>
      </c>
      <c r="O14" s="45">
        <v>38435</v>
      </c>
      <c r="P14" s="45">
        <v>303137.69</v>
      </c>
      <c r="Q14" s="44">
        <v>82550.31</v>
      </c>
      <c r="R14" s="45">
        <v>0</v>
      </c>
      <c r="S14" s="45">
        <v>385688</v>
      </c>
      <c r="U14" s="45">
        <v>176577.7</v>
      </c>
      <c r="V14" s="45">
        <v>48085.56</v>
      </c>
      <c r="W14" s="45">
        <v>0</v>
      </c>
      <c r="X14" s="44">
        <v>224663.26</v>
      </c>
    </row>
    <row r="15" spans="1:24" x14ac:dyDescent="0.2">
      <c r="A15" s="39" t="e">
        <f t="shared" si="2"/>
        <v>#VALUE!</v>
      </c>
      <c r="B15" s="11">
        <v>38447</v>
      </c>
      <c r="C15" s="40">
        <v>303137.69</v>
      </c>
      <c r="D15" s="43">
        <v>82550.31</v>
      </c>
      <c r="E15" s="43">
        <v>0</v>
      </c>
      <c r="F15" s="44">
        <f t="shared" si="3"/>
        <v>385688</v>
      </c>
      <c r="H15" s="45">
        <f t="shared" si="1"/>
        <v>176577.7</v>
      </c>
      <c r="I15" s="45">
        <f t="shared" si="1"/>
        <v>48085.56</v>
      </c>
      <c r="J15" s="45">
        <f t="shared" si="1"/>
        <v>0</v>
      </c>
      <c r="K15" s="44">
        <f t="shared" si="0"/>
        <v>224663.26</v>
      </c>
      <c r="N15" s="284">
        <v>13</v>
      </c>
      <c r="O15" s="45">
        <v>38447</v>
      </c>
      <c r="P15" s="45">
        <v>303137.69</v>
      </c>
      <c r="Q15" s="44">
        <v>82550.31</v>
      </c>
      <c r="R15" s="45">
        <v>0</v>
      </c>
      <c r="S15" s="45">
        <v>385688</v>
      </c>
      <c r="U15" s="45">
        <v>176577.7</v>
      </c>
      <c r="V15" s="45">
        <v>48085.56</v>
      </c>
      <c r="W15" s="45">
        <v>0</v>
      </c>
      <c r="X15" s="44">
        <v>224663.26</v>
      </c>
    </row>
    <row r="16" spans="1:24" x14ac:dyDescent="0.2">
      <c r="A16" s="39" t="e">
        <f t="shared" si="2"/>
        <v>#VALUE!</v>
      </c>
      <c r="B16" s="11">
        <v>38470</v>
      </c>
      <c r="C16" s="40">
        <v>1174675.83</v>
      </c>
      <c r="D16" s="43">
        <v>319887.18</v>
      </c>
      <c r="E16" s="43">
        <v>0</v>
      </c>
      <c r="F16" s="44">
        <f t="shared" si="3"/>
        <v>1494563.01</v>
      </c>
      <c r="H16" s="45">
        <f t="shared" si="1"/>
        <v>684248.67</v>
      </c>
      <c r="I16" s="45">
        <f t="shared" si="1"/>
        <v>186334.28</v>
      </c>
      <c r="J16" s="45">
        <f t="shared" si="1"/>
        <v>0</v>
      </c>
      <c r="K16" s="44">
        <f t="shared" si="0"/>
        <v>870582.95000000007</v>
      </c>
      <c r="N16" s="284">
        <v>14</v>
      </c>
      <c r="O16" s="45">
        <v>38470</v>
      </c>
      <c r="P16" s="45">
        <v>1174675.83</v>
      </c>
      <c r="Q16" s="44">
        <v>319887.18</v>
      </c>
      <c r="R16" s="45">
        <v>0</v>
      </c>
      <c r="S16" s="45">
        <v>1494563.01</v>
      </c>
      <c r="U16" s="45">
        <v>684248.67</v>
      </c>
      <c r="V16" s="45">
        <v>186334.28</v>
      </c>
      <c r="W16" s="45">
        <v>0</v>
      </c>
      <c r="X16" s="44">
        <v>870582.95000000007</v>
      </c>
    </row>
    <row r="17" spans="1:24" x14ac:dyDescent="0.2">
      <c r="A17" s="39" t="e">
        <f t="shared" si="2"/>
        <v>#VALUE!</v>
      </c>
      <c r="B17" s="11">
        <v>38485</v>
      </c>
      <c r="C17" s="40">
        <v>1174675.83</v>
      </c>
      <c r="D17" s="43">
        <v>319887.18</v>
      </c>
      <c r="E17" s="43">
        <v>0</v>
      </c>
      <c r="F17" s="44">
        <f t="shared" si="3"/>
        <v>1494563.01</v>
      </c>
      <c r="H17" s="45">
        <f t="shared" si="1"/>
        <v>684248.67</v>
      </c>
      <c r="I17" s="45">
        <f t="shared" si="1"/>
        <v>186334.28</v>
      </c>
      <c r="J17" s="45">
        <f t="shared" si="1"/>
        <v>0</v>
      </c>
      <c r="K17" s="44">
        <f t="shared" si="0"/>
        <v>870582.95000000007</v>
      </c>
      <c r="N17" s="284">
        <v>15</v>
      </c>
      <c r="O17" s="45">
        <v>38485</v>
      </c>
      <c r="P17" s="45">
        <v>1174675.83</v>
      </c>
      <c r="Q17" s="44">
        <v>319887.18</v>
      </c>
      <c r="R17" s="45">
        <v>0</v>
      </c>
      <c r="S17" s="45">
        <v>1494563.01</v>
      </c>
      <c r="U17" s="45">
        <v>684248.67</v>
      </c>
      <c r="V17" s="45">
        <v>186334.28</v>
      </c>
      <c r="W17" s="45">
        <v>0</v>
      </c>
      <c r="X17" s="44">
        <v>870582.95000000007</v>
      </c>
    </row>
    <row r="18" spans="1:24" x14ac:dyDescent="0.2">
      <c r="A18" s="39" t="e">
        <f t="shared" si="2"/>
        <v>#VALUE!</v>
      </c>
      <c r="B18" s="11">
        <v>38498</v>
      </c>
      <c r="C18" s="40">
        <v>576058.91</v>
      </c>
      <c r="D18" s="43">
        <v>156872.1</v>
      </c>
      <c r="E18" s="43">
        <v>0</v>
      </c>
      <c r="F18" s="44">
        <f t="shared" si="3"/>
        <v>732931.01</v>
      </c>
      <c r="H18" s="45">
        <f t="shared" si="1"/>
        <v>335554.32</v>
      </c>
      <c r="I18" s="45">
        <f t="shared" si="1"/>
        <v>91378</v>
      </c>
      <c r="J18" s="45">
        <f t="shared" si="1"/>
        <v>0</v>
      </c>
      <c r="K18" s="44">
        <f t="shared" si="0"/>
        <v>426932.32</v>
      </c>
      <c r="N18" s="284">
        <v>16</v>
      </c>
      <c r="O18" s="45">
        <v>38498</v>
      </c>
      <c r="P18" s="45">
        <v>576058.91</v>
      </c>
      <c r="Q18" s="44">
        <v>156872.1</v>
      </c>
      <c r="R18" s="45">
        <v>0</v>
      </c>
      <c r="S18" s="45">
        <v>732931.01</v>
      </c>
      <c r="U18" s="45">
        <v>335554.32</v>
      </c>
      <c r="V18" s="45">
        <v>91378</v>
      </c>
      <c r="W18" s="45">
        <v>0</v>
      </c>
      <c r="X18" s="44">
        <v>426932.32</v>
      </c>
    </row>
    <row r="19" spans="1:24" x14ac:dyDescent="0.2">
      <c r="A19" s="39" t="e">
        <f t="shared" si="2"/>
        <v>#VALUE!</v>
      </c>
      <c r="B19" s="11">
        <v>38504</v>
      </c>
      <c r="C19" s="40">
        <v>576058.91</v>
      </c>
      <c r="D19" s="43">
        <v>156872.1</v>
      </c>
      <c r="E19" s="43">
        <v>0</v>
      </c>
      <c r="F19" s="44">
        <f t="shared" si="3"/>
        <v>732931.01</v>
      </c>
      <c r="H19" s="45">
        <f t="shared" si="1"/>
        <v>335554.32</v>
      </c>
      <c r="I19" s="45">
        <f t="shared" si="1"/>
        <v>91378</v>
      </c>
      <c r="J19" s="45">
        <f t="shared" si="1"/>
        <v>0</v>
      </c>
      <c r="K19" s="44">
        <f t="shared" si="0"/>
        <v>426932.32</v>
      </c>
      <c r="N19" s="284">
        <v>17</v>
      </c>
      <c r="O19" s="45">
        <v>38504</v>
      </c>
      <c r="P19" s="45">
        <v>576058.91</v>
      </c>
      <c r="Q19" s="44">
        <v>156872.1</v>
      </c>
      <c r="R19" s="45">
        <v>0</v>
      </c>
      <c r="S19" s="45">
        <v>732931.01</v>
      </c>
      <c r="U19" s="45">
        <v>335554.32</v>
      </c>
      <c r="V19" s="45">
        <v>91378</v>
      </c>
      <c r="W19" s="45">
        <v>0</v>
      </c>
      <c r="X19" s="44">
        <v>426932.32</v>
      </c>
    </row>
    <row r="20" spans="1:24" x14ac:dyDescent="0.2">
      <c r="A20" s="39" t="e">
        <f t="shared" si="2"/>
        <v>#VALUE!</v>
      </c>
      <c r="B20" s="11">
        <v>38520</v>
      </c>
      <c r="C20" s="40">
        <v>-1750734.73</v>
      </c>
      <c r="D20" s="43">
        <v>-476759.27</v>
      </c>
      <c r="E20" s="43">
        <v>0</v>
      </c>
      <c r="F20" s="44">
        <f t="shared" si="3"/>
        <v>-2227494</v>
      </c>
      <c r="H20" s="45">
        <f t="shared" si="1"/>
        <v>-1019802.98</v>
      </c>
      <c r="I20" s="45">
        <f t="shared" si="1"/>
        <v>-277712.27</v>
      </c>
      <c r="J20" s="45">
        <f t="shared" si="1"/>
        <v>0</v>
      </c>
      <c r="K20" s="44">
        <f t="shared" si="0"/>
        <v>-1297515.25</v>
      </c>
      <c r="N20" s="284">
        <v>18</v>
      </c>
      <c r="O20" s="45">
        <v>38520</v>
      </c>
      <c r="P20" s="45">
        <v>-1750734.73</v>
      </c>
      <c r="Q20" s="44">
        <v>-476759.27</v>
      </c>
      <c r="R20" s="45">
        <v>0</v>
      </c>
      <c r="S20" s="45">
        <v>-2227494</v>
      </c>
      <c r="U20" s="45">
        <v>-1019802.98</v>
      </c>
      <c r="V20" s="45">
        <v>-277712.27</v>
      </c>
      <c r="W20" s="45">
        <v>0</v>
      </c>
      <c r="X20" s="44">
        <v>-1297515.25</v>
      </c>
    </row>
    <row r="21" spans="1:24" x14ac:dyDescent="0.2">
      <c r="A21" s="39" t="e">
        <f t="shared" si="2"/>
        <v>#VALUE!</v>
      </c>
      <c r="B21" s="11">
        <v>38539</v>
      </c>
      <c r="C21" s="40">
        <v>380732.19</v>
      </c>
      <c r="D21" s="43">
        <v>103680.82</v>
      </c>
      <c r="E21" s="43">
        <v>0</v>
      </c>
      <c r="F21" s="44">
        <f t="shared" si="3"/>
        <v>484413.01</v>
      </c>
      <c r="H21" s="45">
        <f t="shared" si="1"/>
        <v>221776.5</v>
      </c>
      <c r="I21" s="45">
        <f t="shared" si="1"/>
        <v>60394.080000000002</v>
      </c>
      <c r="J21" s="45">
        <f t="shared" si="1"/>
        <v>0</v>
      </c>
      <c r="K21" s="44">
        <f t="shared" si="0"/>
        <v>282170.58</v>
      </c>
      <c r="N21" s="284">
        <v>19</v>
      </c>
      <c r="O21" s="45">
        <v>38539</v>
      </c>
      <c r="P21" s="45">
        <v>380732.19</v>
      </c>
      <c r="Q21" s="44">
        <v>103680.82</v>
      </c>
      <c r="R21" s="45">
        <v>0</v>
      </c>
      <c r="S21" s="45">
        <v>484413.01</v>
      </c>
      <c r="U21" s="45">
        <v>221776.5</v>
      </c>
      <c r="V21" s="45">
        <v>60394.080000000002</v>
      </c>
      <c r="W21" s="45">
        <v>0</v>
      </c>
      <c r="X21" s="44">
        <v>282170.58</v>
      </c>
    </row>
    <row r="22" spans="1:24" x14ac:dyDescent="0.2">
      <c r="A22" s="39" t="e">
        <f t="shared" si="2"/>
        <v>#VALUE!</v>
      </c>
      <c r="B22" s="11">
        <v>38562</v>
      </c>
      <c r="C22" s="40">
        <v>0</v>
      </c>
      <c r="D22" s="43">
        <v>1139884.8999999999</v>
      </c>
      <c r="E22" s="43">
        <v>0</v>
      </c>
      <c r="F22" s="44">
        <f t="shared" si="3"/>
        <v>1139884.8999999999</v>
      </c>
      <c r="H22" s="45">
        <f t="shared" si="1"/>
        <v>0</v>
      </c>
      <c r="I22" s="45">
        <f t="shared" si="1"/>
        <v>663982.94999999995</v>
      </c>
      <c r="J22" s="45">
        <f t="shared" si="1"/>
        <v>0</v>
      </c>
      <c r="K22" s="44">
        <f t="shared" si="0"/>
        <v>663982.94999999995</v>
      </c>
      <c r="N22" s="284">
        <v>20</v>
      </c>
      <c r="O22" s="45">
        <v>38562</v>
      </c>
      <c r="P22" s="45">
        <v>0</v>
      </c>
      <c r="Q22" s="44">
        <v>1139884.8999999999</v>
      </c>
      <c r="R22" s="45">
        <v>0</v>
      </c>
      <c r="S22" s="45">
        <v>1139884.8999999999</v>
      </c>
      <c r="U22" s="45">
        <v>0</v>
      </c>
      <c r="V22" s="45">
        <v>663982.94999999995</v>
      </c>
      <c r="W22" s="45">
        <v>0</v>
      </c>
      <c r="X22" s="44">
        <v>663982.94999999995</v>
      </c>
    </row>
    <row r="23" spans="1:24" x14ac:dyDescent="0.2">
      <c r="A23" s="39" t="e">
        <f t="shared" si="2"/>
        <v>#VALUE!</v>
      </c>
      <c r="B23" s="11">
        <v>38565</v>
      </c>
      <c r="C23" s="40">
        <v>278059.08</v>
      </c>
      <c r="D23" s="43">
        <v>75720.92</v>
      </c>
      <c r="E23" s="43">
        <v>0</v>
      </c>
      <c r="F23" s="44">
        <f t="shared" si="3"/>
        <v>353780</v>
      </c>
      <c r="H23" s="45">
        <f t="shared" si="1"/>
        <v>161969.41</v>
      </c>
      <c r="I23" s="45">
        <f t="shared" si="1"/>
        <v>44107.44</v>
      </c>
      <c r="J23" s="45">
        <f t="shared" si="1"/>
        <v>0</v>
      </c>
      <c r="K23" s="44">
        <f t="shared" si="0"/>
        <v>206076.85</v>
      </c>
      <c r="M23" s="100"/>
      <c r="N23" s="284">
        <v>21</v>
      </c>
      <c r="O23" s="45">
        <v>38565</v>
      </c>
      <c r="P23" s="45">
        <v>278059.08</v>
      </c>
      <c r="Q23" s="44">
        <v>75720.92</v>
      </c>
      <c r="R23" s="45">
        <v>0</v>
      </c>
      <c r="S23" s="45">
        <v>353780</v>
      </c>
      <c r="U23" s="45">
        <v>161969.41</v>
      </c>
      <c r="V23" s="45">
        <v>44107.44</v>
      </c>
      <c r="W23" s="45">
        <v>0</v>
      </c>
      <c r="X23" s="44">
        <v>206076.85</v>
      </c>
    </row>
    <row r="24" spans="1:24" x14ac:dyDescent="0.2">
      <c r="A24" s="39" t="e">
        <f t="shared" si="2"/>
        <v>#VALUE!</v>
      </c>
      <c r="B24" s="11">
        <v>38603</v>
      </c>
      <c r="C24" s="40">
        <v>280427.98</v>
      </c>
      <c r="D24" s="43">
        <v>76366.009999999995</v>
      </c>
      <c r="E24" s="43">
        <v>0</v>
      </c>
      <c r="F24" s="44">
        <f t="shared" si="3"/>
        <v>356793.99</v>
      </c>
      <c r="H24" s="45">
        <f t="shared" si="1"/>
        <v>163349.29999999999</v>
      </c>
      <c r="I24" s="45">
        <f t="shared" si="1"/>
        <v>44483.199999999997</v>
      </c>
      <c r="J24" s="45">
        <f t="shared" si="1"/>
        <v>0</v>
      </c>
      <c r="K24" s="44">
        <f t="shared" si="0"/>
        <v>207832.5</v>
      </c>
      <c r="M24" s="100"/>
      <c r="N24" s="284">
        <v>22</v>
      </c>
      <c r="O24" s="45">
        <v>38603</v>
      </c>
      <c r="P24" s="45">
        <v>280427.98</v>
      </c>
      <c r="Q24" s="44">
        <v>76366.009999999995</v>
      </c>
      <c r="R24" s="45">
        <v>0</v>
      </c>
      <c r="S24" s="45">
        <v>356793.99</v>
      </c>
      <c r="U24" s="45">
        <v>163349.29999999999</v>
      </c>
      <c r="V24" s="45">
        <v>44483.199999999997</v>
      </c>
      <c r="W24" s="45">
        <v>0</v>
      </c>
      <c r="X24" s="44">
        <v>207832.5</v>
      </c>
    </row>
    <row r="25" spans="1:24" x14ac:dyDescent="0.2">
      <c r="A25" s="39">
        <v>23</v>
      </c>
      <c r="B25" s="11">
        <v>38630</v>
      </c>
      <c r="C25" s="40">
        <v>4835453.54</v>
      </c>
      <c r="D25" s="43">
        <v>1316788.46</v>
      </c>
      <c r="E25" s="43">
        <v>0</v>
      </c>
      <c r="F25" s="44">
        <f t="shared" si="3"/>
        <v>6152242</v>
      </c>
      <c r="H25" s="45">
        <f t="shared" si="1"/>
        <v>2816651.69</v>
      </c>
      <c r="I25" s="45">
        <f t="shared" si="1"/>
        <v>767029.28</v>
      </c>
      <c r="J25" s="45">
        <f t="shared" si="1"/>
        <v>0</v>
      </c>
      <c r="K25" s="44">
        <f t="shared" si="0"/>
        <v>3583680.9699999997</v>
      </c>
      <c r="M25" s="100"/>
      <c r="N25" s="284">
        <v>23</v>
      </c>
      <c r="O25" s="45">
        <v>38630</v>
      </c>
      <c r="P25" s="45">
        <v>4835453.54</v>
      </c>
      <c r="Q25" s="44">
        <v>1316788.46</v>
      </c>
      <c r="R25" s="45">
        <v>0</v>
      </c>
      <c r="S25" s="45">
        <v>6152242</v>
      </c>
      <c r="U25" s="45">
        <v>2816651.69</v>
      </c>
      <c r="V25" s="45">
        <v>767029.28</v>
      </c>
      <c r="W25" s="45">
        <v>0</v>
      </c>
      <c r="X25" s="44">
        <v>3583680.9699999997</v>
      </c>
    </row>
    <row r="26" spans="1:24" x14ac:dyDescent="0.2">
      <c r="A26" s="39">
        <v>24</v>
      </c>
      <c r="B26" s="11">
        <v>38657</v>
      </c>
      <c r="C26" s="40">
        <v>7924624.0599999996</v>
      </c>
      <c r="D26" s="43">
        <v>2158029.94</v>
      </c>
      <c r="E26" s="43">
        <v>0</v>
      </c>
      <c r="F26" s="44">
        <f t="shared" si="3"/>
        <v>10082654</v>
      </c>
      <c r="H26" s="45">
        <f t="shared" ref="H26:J30" si="4">ROUND(C26*0.5825,2)</f>
        <v>4616093.51</v>
      </c>
      <c r="I26" s="45">
        <f t="shared" si="4"/>
        <v>1257052.44</v>
      </c>
      <c r="J26" s="45">
        <f t="shared" si="4"/>
        <v>0</v>
      </c>
      <c r="K26" s="44">
        <f t="shared" ref="K26:K31" si="5">SUM(H26:J26)</f>
        <v>5873145.9499999993</v>
      </c>
      <c r="M26" s="100"/>
      <c r="N26" s="284">
        <v>24</v>
      </c>
      <c r="O26" s="45">
        <v>38657</v>
      </c>
      <c r="P26" s="45">
        <v>7924624.0599999996</v>
      </c>
      <c r="Q26" s="44">
        <v>2158029.94</v>
      </c>
      <c r="R26" s="45">
        <v>0</v>
      </c>
      <c r="S26" s="45">
        <v>10082654</v>
      </c>
      <c r="U26" s="45">
        <v>4616093.51</v>
      </c>
      <c r="V26" s="45">
        <v>1257052.44</v>
      </c>
      <c r="W26" s="45">
        <v>0</v>
      </c>
      <c r="X26" s="44">
        <v>5873145.9499999993</v>
      </c>
    </row>
    <row r="27" spans="1:24" x14ac:dyDescent="0.2">
      <c r="A27" s="39">
        <v>25</v>
      </c>
      <c r="B27" s="11">
        <v>38695</v>
      </c>
      <c r="C27" s="40">
        <v>824059.5</v>
      </c>
      <c r="D27" s="43">
        <v>224407.5</v>
      </c>
      <c r="E27" s="43">
        <v>0</v>
      </c>
      <c r="F27" s="44">
        <f t="shared" si="3"/>
        <v>1048467</v>
      </c>
      <c r="H27" s="45">
        <f t="shared" si="4"/>
        <v>480014.66</v>
      </c>
      <c r="I27" s="45">
        <f t="shared" si="4"/>
        <v>130717.37</v>
      </c>
      <c r="J27" s="45">
        <f t="shared" si="4"/>
        <v>0</v>
      </c>
      <c r="K27" s="44">
        <f t="shared" si="5"/>
        <v>610732.03</v>
      </c>
      <c r="M27" s="100"/>
      <c r="N27" s="284">
        <v>25</v>
      </c>
      <c r="O27" s="45">
        <v>38695</v>
      </c>
      <c r="P27" s="45">
        <v>824059.5</v>
      </c>
      <c r="Q27" s="44">
        <v>224407.5</v>
      </c>
      <c r="R27" s="45">
        <v>0</v>
      </c>
      <c r="S27" s="45">
        <v>1048467</v>
      </c>
      <c r="U27" s="45">
        <v>480014.66</v>
      </c>
      <c r="V27" s="45">
        <v>130717.37</v>
      </c>
      <c r="W27" s="45">
        <v>0</v>
      </c>
      <c r="X27" s="44">
        <v>610732.03</v>
      </c>
    </row>
    <row r="28" spans="1:24" x14ac:dyDescent="0.2">
      <c r="A28" s="39">
        <v>26</v>
      </c>
      <c r="B28" s="11">
        <v>38716</v>
      </c>
      <c r="C28" s="40">
        <v>278111.74</v>
      </c>
      <c r="D28" s="43">
        <v>75735.259999999995</v>
      </c>
      <c r="E28" s="43">
        <v>0</v>
      </c>
      <c r="F28" s="44">
        <f t="shared" si="3"/>
        <v>353847</v>
      </c>
      <c r="H28" s="45">
        <f t="shared" si="4"/>
        <v>162000.09</v>
      </c>
      <c r="I28" s="45">
        <f t="shared" si="4"/>
        <v>44115.79</v>
      </c>
      <c r="J28" s="45">
        <f t="shared" si="4"/>
        <v>0</v>
      </c>
      <c r="K28" s="44">
        <f t="shared" si="5"/>
        <v>206115.88</v>
      </c>
      <c r="M28" s="100"/>
      <c r="N28" s="284">
        <v>26</v>
      </c>
      <c r="O28" s="45">
        <v>38716</v>
      </c>
      <c r="P28" s="45">
        <v>278111.74</v>
      </c>
      <c r="Q28" s="44">
        <v>75735.259999999995</v>
      </c>
      <c r="R28" s="45">
        <v>0</v>
      </c>
      <c r="S28" s="45">
        <v>353847</v>
      </c>
      <c r="U28" s="45">
        <v>162000.09</v>
      </c>
      <c r="V28" s="45">
        <v>44115.79</v>
      </c>
      <c r="W28" s="45">
        <v>0</v>
      </c>
      <c r="X28" s="44">
        <v>206115.88</v>
      </c>
    </row>
    <row r="29" spans="1:24" x14ac:dyDescent="0.2">
      <c r="A29" s="39">
        <v>27</v>
      </c>
      <c r="B29" s="11">
        <v>38730</v>
      </c>
      <c r="C29" s="40">
        <v>1039721.52</v>
      </c>
      <c r="D29" s="43">
        <v>283136.48</v>
      </c>
      <c r="E29" s="43">
        <v>0</v>
      </c>
      <c r="F29" s="44">
        <f t="shared" si="3"/>
        <v>1322858</v>
      </c>
      <c r="H29" s="45">
        <f t="shared" si="4"/>
        <v>605637.79</v>
      </c>
      <c r="I29" s="45">
        <f t="shared" si="4"/>
        <v>164927</v>
      </c>
      <c r="J29" s="45">
        <f t="shared" si="4"/>
        <v>0</v>
      </c>
      <c r="K29" s="44">
        <f t="shared" si="5"/>
        <v>770564.79</v>
      </c>
      <c r="M29" s="100"/>
      <c r="N29" s="284">
        <v>27</v>
      </c>
      <c r="O29" s="45">
        <v>38730</v>
      </c>
      <c r="P29" s="45">
        <v>1039721.52</v>
      </c>
      <c r="Q29" s="44">
        <v>283136.48</v>
      </c>
      <c r="R29" s="45">
        <v>0</v>
      </c>
      <c r="S29" s="45">
        <v>1322858</v>
      </c>
      <c r="U29" s="45">
        <v>605637.79</v>
      </c>
      <c r="V29" s="45">
        <v>164927</v>
      </c>
      <c r="W29" s="45">
        <v>0</v>
      </c>
      <c r="X29" s="44">
        <v>770564.79</v>
      </c>
    </row>
    <row r="30" spans="1:24" x14ac:dyDescent="0.2">
      <c r="A30" s="39">
        <v>28</v>
      </c>
      <c r="B30" s="14">
        <v>38775</v>
      </c>
      <c r="C30" s="41">
        <v>260886.49</v>
      </c>
      <c r="D30" s="46">
        <v>71044.479999999996</v>
      </c>
      <c r="E30" s="46">
        <v>382230</v>
      </c>
      <c r="F30" s="46">
        <f t="shared" si="3"/>
        <v>714160.97</v>
      </c>
      <c r="H30" s="45">
        <f>ROUND(C30*0.5825,2)</f>
        <v>151966.38</v>
      </c>
      <c r="I30" s="45">
        <f t="shared" si="4"/>
        <v>41383.410000000003</v>
      </c>
      <c r="J30" s="45">
        <f>ROUND(E30*0.5825,2)</f>
        <v>222648.98</v>
      </c>
      <c r="K30" s="44">
        <f t="shared" si="5"/>
        <v>415998.77</v>
      </c>
      <c r="M30" s="100"/>
      <c r="N30" s="284">
        <v>28</v>
      </c>
      <c r="O30" s="45">
        <v>38775</v>
      </c>
      <c r="P30" s="45">
        <v>260886.49</v>
      </c>
      <c r="Q30" s="44">
        <v>71044.479999999996</v>
      </c>
      <c r="R30" s="45">
        <v>382230</v>
      </c>
      <c r="S30" s="45">
        <v>714160.97</v>
      </c>
      <c r="U30" s="45">
        <v>151966.38</v>
      </c>
      <c r="V30" s="45">
        <v>41383.410000000003</v>
      </c>
      <c r="W30" s="45">
        <v>222648.98</v>
      </c>
      <c r="X30" s="44">
        <v>415998.77</v>
      </c>
    </row>
    <row r="31" spans="1:24" x14ac:dyDescent="0.2">
      <c r="A31" s="39">
        <v>29</v>
      </c>
      <c r="B31" s="18">
        <v>39496</v>
      </c>
      <c r="C31" s="53"/>
      <c r="D31" s="44"/>
      <c r="E31" s="44">
        <v>0</v>
      </c>
      <c r="F31" s="46">
        <f>SUM(C31:E31)</f>
        <v>0</v>
      </c>
      <c r="H31" s="53">
        <f>-(351295.03+69588.56+169490.65+38717.27+116151.81+18420.1)</f>
        <v>-763663.42</v>
      </c>
      <c r="I31" s="44">
        <f>-(117027.32+23182.12+56462.62+12897.93+38693.78+6136.31)</f>
        <v>-254400.08</v>
      </c>
      <c r="J31" s="44">
        <f>-(4928.51+976.3+2377.88+543.19+1629.56+258.43)</f>
        <v>-10713.87</v>
      </c>
      <c r="K31" s="44">
        <f t="shared" si="5"/>
        <v>-1028777.37</v>
      </c>
      <c r="M31" s="100"/>
      <c r="N31" s="285">
        <v>29</v>
      </c>
      <c r="O31" s="44">
        <v>39496</v>
      </c>
      <c r="P31" s="44"/>
      <c r="Q31" s="44"/>
      <c r="R31" s="53">
        <v>0</v>
      </c>
      <c r="S31" s="44">
        <v>0</v>
      </c>
      <c r="U31" s="53">
        <v>-763663.42</v>
      </c>
      <c r="V31" s="44">
        <v>-254400.08</v>
      </c>
      <c r="W31" s="44">
        <v>-10713.87</v>
      </c>
      <c r="X31" s="44">
        <v>-1028777.37</v>
      </c>
    </row>
    <row r="32" spans="1:24" x14ac:dyDescent="0.2">
      <c r="B32" s="5" t="s">
        <v>0</v>
      </c>
      <c r="C32" s="45">
        <f>SUM(C3:C31)</f>
        <v>27244622.859999992</v>
      </c>
      <c r="D32" s="45">
        <f>SUM(D3:D31)</f>
        <v>9076032.3800000008</v>
      </c>
      <c r="E32" s="45">
        <f>SUM(E3:E31)</f>
        <v>382230</v>
      </c>
      <c r="F32" s="45">
        <f>SUM(F3:F31)</f>
        <v>36702885.239999995</v>
      </c>
      <c r="H32" s="239">
        <f>SUM(H3:H31)</f>
        <v>15106329.390000001</v>
      </c>
      <c r="I32" s="47">
        <f>SUM(I3:I31)</f>
        <v>5032388.8000000007</v>
      </c>
      <c r="J32" s="47">
        <f>SUM(J3:J31)</f>
        <v>211935.11000000002</v>
      </c>
      <c r="K32" s="47">
        <f>SUM(K3:K31)</f>
        <v>20350653.299999997</v>
      </c>
      <c r="N32" s="239"/>
      <c r="O32" s="47" t="s">
        <v>0</v>
      </c>
      <c r="P32" s="47">
        <v>27244622.859999992</v>
      </c>
      <c r="Q32" s="47">
        <v>9076032.3800000008</v>
      </c>
      <c r="R32" s="239">
        <v>382230</v>
      </c>
      <c r="S32" s="47">
        <v>36702885.239999995</v>
      </c>
      <c r="U32" s="239">
        <v>15106329.390000001</v>
      </c>
      <c r="V32" s="47">
        <v>5032388.8000000007</v>
      </c>
      <c r="W32" s="47">
        <v>211935.11000000002</v>
      </c>
      <c r="X32" s="47">
        <v>20350653.299999997</v>
      </c>
    </row>
    <row r="33" spans="1:24" x14ac:dyDescent="0.2">
      <c r="C33" s="45"/>
      <c r="H33" s="43">
        <f>SUM(H3:H30)</f>
        <v>15869992.810000001</v>
      </c>
      <c r="J33" s="45">
        <f>J30</f>
        <v>222648.98</v>
      </c>
      <c r="K33" s="45"/>
      <c r="U33" s="3">
        <v>15869992.810000001</v>
      </c>
      <c r="V33" s="3"/>
      <c r="W33" s="3">
        <v>222648.98</v>
      </c>
      <c r="X33" s="4"/>
    </row>
    <row r="34" spans="1:24" x14ac:dyDescent="0.2">
      <c r="A34" s="396" t="s">
        <v>95</v>
      </c>
      <c r="B34" s="396"/>
      <c r="C34" s="17">
        <v>38864</v>
      </c>
      <c r="H34" s="43"/>
      <c r="I34" s="45"/>
      <c r="N34" s="401"/>
      <c r="O34" s="401"/>
      <c r="P34" s="401"/>
      <c r="Q34" s="401"/>
      <c r="R34" s="401"/>
      <c r="S34" s="401"/>
      <c r="T34" s="401"/>
      <c r="U34" s="401"/>
      <c r="V34" s="401"/>
      <c r="W34" s="401"/>
      <c r="X34" s="401"/>
    </row>
    <row r="36" spans="1:24" x14ac:dyDescent="0.2">
      <c r="A36" s="403" t="s">
        <v>58</v>
      </c>
      <c r="B36" s="404"/>
      <c r="C36" s="404"/>
      <c r="D36" s="404"/>
      <c r="E36" s="404"/>
      <c r="F36" s="404"/>
      <c r="G36" s="404"/>
      <c r="H36" s="404"/>
      <c r="I36" s="404"/>
      <c r="J36" s="405"/>
    </row>
    <row r="37" spans="1:24" x14ac:dyDescent="0.2">
      <c r="A37" s="2" t="s">
        <v>10</v>
      </c>
      <c r="B37" s="2" t="s">
        <v>11</v>
      </c>
      <c r="C37" s="2" t="s">
        <v>12</v>
      </c>
      <c r="D37" s="2" t="s">
        <v>13</v>
      </c>
      <c r="E37" s="2" t="s">
        <v>14</v>
      </c>
      <c r="F37" s="2" t="s">
        <v>15</v>
      </c>
      <c r="G37" s="2" t="s">
        <v>16</v>
      </c>
      <c r="H37" s="2"/>
      <c r="I37" s="2"/>
      <c r="J37" s="2" t="s">
        <v>17</v>
      </c>
    </row>
    <row r="38" spans="1:24" ht="51" x14ac:dyDescent="0.2">
      <c r="A38" s="6" t="s">
        <v>18</v>
      </c>
      <c r="B38" s="6" t="s">
        <v>19</v>
      </c>
      <c r="C38" s="6" t="s">
        <v>20</v>
      </c>
      <c r="D38" s="6" t="s">
        <v>21</v>
      </c>
      <c r="E38" s="6" t="s">
        <v>22</v>
      </c>
      <c r="F38" s="6" t="s">
        <v>23</v>
      </c>
      <c r="G38" s="6" t="s">
        <v>130</v>
      </c>
      <c r="H38" s="6" t="s">
        <v>37</v>
      </c>
      <c r="I38" s="6" t="s">
        <v>131</v>
      </c>
      <c r="J38" s="6" t="s">
        <v>25</v>
      </c>
      <c r="K38" s="98">
        <v>490871.97</v>
      </c>
    </row>
    <row r="39" spans="1:24" x14ac:dyDescent="0.2">
      <c r="A39" s="201" t="s">
        <v>77</v>
      </c>
      <c r="B39" s="188">
        <f>C34</f>
        <v>38864</v>
      </c>
      <c r="C39" s="103">
        <v>38898</v>
      </c>
      <c r="D39" s="189">
        <f t="shared" ref="D39:D46" si="6">+C39-B39+1</f>
        <v>35</v>
      </c>
      <c r="E39" s="190">
        <v>7.3</v>
      </c>
      <c r="F39" s="191">
        <f>H33</f>
        <v>15869992.810000001</v>
      </c>
      <c r="G39" s="192">
        <f t="shared" ref="G39:G46" si="7">+D39/365*E39/100*F39</f>
        <v>111089.94966999999</v>
      </c>
      <c r="H39" s="192"/>
      <c r="I39" s="193"/>
      <c r="J39" s="197">
        <f>+F39+G39</f>
        <v>15981082.759670001</v>
      </c>
      <c r="K39" s="98">
        <v>4516709.18</v>
      </c>
    </row>
    <row r="40" spans="1:24" x14ac:dyDescent="0.2">
      <c r="A40" s="174" t="s">
        <v>78</v>
      </c>
      <c r="B40" s="175">
        <f t="shared" ref="B40:B61" si="8">C39+1</f>
        <v>38899</v>
      </c>
      <c r="C40" s="110">
        <v>38990</v>
      </c>
      <c r="D40" s="176">
        <f t="shared" si="6"/>
        <v>92</v>
      </c>
      <c r="E40" s="111">
        <v>7.74</v>
      </c>
      <c r="F40" s="177">
        <f>J39</f>
        <v>15981082.759670001</v>
      </c>
      <c r="G40" s="178">
        <f t="shared" si="7"/>
        <v>311775.60031522787</v>
      </c>
      <c r="H40" s="178">
        <f>H33/20</f>
        <v>793499.64049999998</v>
      </c>
      <c r="I40" s="179">
        <f>G$41/20</f>
        <v>21143.277499261392</v>
      </c>
      <c r="J40" s="198">
        <f>+F40+G40-H40-I40</f>
        <v>15478215.441985967</v>
      </c>
      <c r="K40" s="98">
        <v>3095297.1</v>
      </c>
    </row>
    <row r="41" spans="1:24" x14ac:dyDescent="0.2">
      <c r="A41" s="174"/>
      <c r="B41" s="175"/>
      <c r="C41" s="110"/>
      <c r="D41" s="176"/>
      <c r="E41" s="402" t="s">
        <v>132</v>
      </c>
      <c r="F41" s="402"/>
      <c r="G41" s="202">
        <f>SUM(G39:G40)</f>
        <v>422865.54998522787</v>
      </c>
      <c r="H41" s="178"/>
      <c r="I41" s="179"/>
      <c r="J41" s="148"/>
      <c r="K41" s="266">
        <v>9361563.3399999999</v>
      </c>
    </row>
    <row r="42" spans="1:24" x14ac:dyDescent="0.2">
      <c r="A42" s="174" t="s">
        <v>79</v>
      </c>
      <c r="B42" s="175">
        <f>C40+1</f>
        <v>38991</v>
      </c>
      <c r="C42" s="110">
        <v>39082</v>
      </c>
      <c r="D42" s="176">
        <f t="shared" si="6"/>
        <v>92</v>
      </c>
      <c r="E42" s="111">
        <v>8.17</v>
      </c>
      <c r="F42" s="177">
        <f>F$39+G$41-SUM(H$40:H41)-SUM(I$40:I41)</f>
        <v>15478215.441985967</v>
      </c>
      <c r="G42" s="178">
        <f t="shared" si="7"/>
        <v>318740.98232368036</v>
      </c>
      <c r="H42" s="178">
        <f>H40</f>
        <v>793499.64049999998</v>
      </c>
      <c r="I42" s="196">
        <f>G$41/20</f>
        <v>21143.277499261392</v>
      </c>
      <c r="J42" s="137"/>
      <c r="K42" s="266">
        <v>1854446.06</v>
      </c>
    </row>
    <row r="43" spans="1:24" x14ac:dyDescent="0.2">
      <c r="A43" s="174" t="s">
        <v>80</v>
      </c>
      <c r="B43" s="175">
        <f t="shared" si="8"/>
        <v>39083</v>
      </c>
      <c r="C43" s="110">
        <v>39172</v>
      </c>
      <c r="D43" s="176">
        <f t="shared" si="6"/>
        <v>90</v>
      </c>
      <c r="E43" s="111">
        <v>8.25</v>
      </c>
      <c r="F43" s="177">
        <f>F$39+G$41-SUM(H$40:H42)-SUM(I$40:I42)</f>
        <v>14663572.523986707</v>
      </c>
      <c r="G43" s="178">
        <f t="shared" si="7"/>
        <v>298293.22189205833</v>
      </c>
      <c r="H43" s="178">
        <f t="shared" ref="H43:H50" si="9">H42</f>
        <v>793499.64049999998</v>
      </c>
      <c r="I43" s="196">
        <f>G$41/20</f>
        <v>21143.277499261392</v>
      </c>
      <c r="J43" s="99"/>
      <c r="K43" s="267">
        <v>1031765.68</v>
      </c>
    </row>
    <row r="44" spans="1:24" x14ac:dyDescent="0.2">
      <c r="A44" s="174" t="s">
        <v>81</v>
      </c>
      <c r="B44" s="175">
        <f t="shared" si="8"/>
        <v>39173</v>
      </c>
      <c r="C44" s="110">
        <v>39263</v>
      </c>
      <c r="D44" s="176">
        <f t="shared" si="6"/>
        <v>91</v>
      </c>
      <c r="E44" s="111">
        <v>8.25</v>
      </c>
      <c r="F44" s="177">
        <f>F$39+G$41-SUM(H$40:H43)-SUM(I$40:I43)</f>
        <v>13848929.605987443</v>
      </c>
      <c r="G44" s="178">
        <f t="shared" si="7"/>
        <v>284851.61374507053</v>
      </c>
      <c r="H44" s="178">
        <f t="shared" si="9"/>
        <v>793499.64049999998</v>
      </c>
      <c r="I44" s="196">
        <f>G$41/20</f>
        <v>21143.277499261392</v>
      </c>
      <c r="J44" s="137"/>
    </row>
    <row r="45" spans="1:24" x14ac:dyDescent="0.2">
      <c r="A45" s="174" t="s">
        <v>82</v>
      </c>
      <c r="B45" s="175">
        <f t="shared" si="8"/>
        <v>39264</v>
      </c>
      <c r="C45" s="110">
        <v>39355</v>
      </c>
      <c r="D45" s="176">
        <f t="shared" si="6"/>
        <v>92</v>
      </c>
      <c r="E45" s="111">
        <v>8.25</v>
      </c>
      <c r="F45" s="177">
        <f>F$39+G$41-SUM(H$40:H44)-SUM(I$40:I44)</f>
        <v>13034286.687988184</v>
      </c>
      <c r="G45" s="178">
        <f t="shared" si="7"/>
        <v>271041.74236117897</v>
      </c>
      <c r="H45" s="178">
        <f t="shared" si="9"/>
        <v>793499.64049999998</v>
      </c>
      <c r="I45" s="196">
        <f>G$41/20</f>
        <v>21143.277499261392</v>
      </c>
      <c r="J45" s="137"/>
      <c r="K45" s="98">
        <f>SUM(K38:K43)</f>
        <v>20350653.329999998</v>
      </c>
    </row>
    <row r="46" spans="1:24" x14ac:dyDescent="0.2">
      <c r="A46" s="180" t="s">
        <v>83</v>
      </c>
      <c r="B46" s="175">
        <f t="shared" si="8"/>
        <v>39356</v>
      </c>
      <c r="C46" s="110">
        <v>39447</v>
      </c>
      <c r="D46" s="176">
        <f t="shared" si="6"/>
        <v>92</v>
      </c>
      <c r="E46" s="111">
        <v>8.25</v>
      </c>
      <c r="F46" s="177">
        <f>F$39+G$41-SUM(H$40:H45)-SUM(I$40:I45)</f>
        <v>12219643.769988921</v>
      </c>
      <c r="G46" s="178">
        <f t="shared" si="7"/>
        <v>254101.63346360525</v>
      </c>
      <c r="H46" s="178">
        <f t="shared" si="9"/>
        <v>793499.64049999998</v>
      </c>
      <c r="I46" s="196">
        <f>G$41/20</f>
        <v>21143.277499261392</v>
      </c>
      <c r="J46" s="137"/>
    </row>
    <row r="47" spans="1:24" x14ac:dyDescent="0.2">
      <c r="A47" s="180" t="s">
        <v>105</v>
      </c>
      <c r="B47" s="175">
        <f t="shared" si="8"/>
        <v>39448</v>
      </c>
      <c r="C47" s="175">
        <v>39538</v>
      </c>
      <c r="D47" s="176">
        <f t="shared" ref="D47:D61" si="10">+C47-B47+1</f>
        <v>91</v>
      </c>
      <c r="E47" s="111">
        <v>7.76</v>
      </c>
      <c r="F47" s="177">
        <f>F$39+G$41-SUM(H$40:H46)-SUM(I$40:I46)</f>
        <v>11405000.851989662</v>
      </c>
      <c r="G47" s="178">
        <f>+D47/366*E47/100*F47</f>
        <v>220047.96179347052</v>
      </c>
      <c r="H47" s="178">
        <f t="shared" si="9"/>
        <v>793499.64049999998</v>
      </c>
      <c r="I47" s="179">
        <f t="shared" ref="I47:I60" si="11">G$41/20</f>
        <v>21143.277499261392</v>
      </c>
      <c r="J47" s="35"/>
    </row>
    <row r="48" spans="1:24" x14ac:dyDescent="0.2">
      <c r="A48" s="180" t="s">
        <v>106</v>
      </c>
      <c r="B48" s="175">
        <f t="shared" si="8"/>
        <v>39539</v>
      </c>
      <c r="C48" s="175">
        <v>39629</v>
      </c>
      <c r="D48" s="176">
        <f t="shared" si="10"/>
        <v>91</v>
      </c>
      <c r="E48" s="111">
        <v>6.77</v>
      </c>
      <c r="F48" s="177">
        <f>F$39+G$41-SUM(H$40:H47)-SUM(I$40:I47)</f>
        <v>10590357.933990398</v>
      </c>
      <c r="G48" s="178">
        <f>+D48/366*E48/100*F48</f>
        <v>178262.34460091431</v>
      </c>
      <c r="H48" s="178">
        <f t="shared" si="9"/>
        <v>793499.64049999998</v>
      </c>
      <c r="I48" s="179">
        <f t="shared" si="11"/>
        <v>21143.277499261392</v>
      </c>
      <c r="J48" s="35"/>
    </row>
    <row r="49" spans="1:10" x14ac:dyDescent="0.2">
      <c r="A49" s="180" t="s">
        <v>107</v>
      </c>
      <c r="B49" s="175">
        <f t="shared" si="8"/>
        <v>39630</v>
      </c>
      <c r="C49" s="175">
        <v>39721</v>
      </c>
      <c r="D49" s="176">
        <f t="shared" si="10"/>
        <v>92</v>
      </c>
      <c r="E49" s="111">
        <v>5.3</v>
      </c>
      <c r="F49" s="177">
        <f>F$39+G$41-SUM(H$40:H48)-SUM(I$40:I48)</f>
        <v>9775715.0159911402</v>
      </c>
      <c r="G49" s="178">
        <f>+D49/366*E49/100*F49</f>
        <v>130236.02846440655</v>
      </c>
      <c r="H49" s="178">
        <f t="shared" si="9"/>
        <v>793499.64049999998</v>
      </c>
      <c r="I49" s="179">
        <f t="shared" si="11"/>
        <v>21143.277499261392</v>
      </c>
      <c r="J49" s="75"/>
    </row>
    <row r="50" spans="1:10" x14ac:dyDescent="0.2">
      <c r="A50" s="180" t="s">
        <v>100</v>
      </c>
      <c r="B50" s="175">
        <f t="shared" si="8"/>
        <v>39722</v>
      </c>
      <c r="C50" s="175">
        <v>39813</v>
      </c>
      <c r="D50" s="176">
        <f t="shared" si="10"/>
        <v>92</v>
      </c>
      <c r="E50" s="111">
        <v>5</v>
      </c>
      <c r="F50" s="177">
        <f>F$39+G$41-SUM(H$40:H49)-SUM(I$40:I49)</f>
        <v>8961072.0979918763</v>
      </c>
      <c r="G50" s="178">
        <f>+D50/366*E50/100*F50</f>
        <v>112625.49631355911</v>
      </c>
      <c r="H50" s="178">
        <f t="shared" si="9"/>
        <v>793499.64049999998</v>
      </c>
      <c r="I50" s="179">
        <f t="shared" si="11"/>
        <v>21143.277499261392</v>
      </c>
      <c r="J50" s="75"/>
    </row>
    <row r="51" spans="1:10" x14ac:dyDescent="0.2">
      <c r="A51" s="180" t="s">
        <v>108</v>
      </c>
      <c r="B51" s="175">
        <f t="shared" si="8"/>
        <v>39814</v>
      </c>
      <c r="C51" s="175">
        <v>39903</v>
      </c>
      <c r="D51" s="176">
        <f t="shared" si="10"/>
        <v>90</v>
      </c>
      <c r="E51" s="111">
        <v>4.5199999999999996</v>
      </c>
      <c r="F51" s="177">
        <f>F$39+G$41-SUM(H$40:H50)-SUM(I$40:I50)</f>
        <v>8146429.1799926162</v>
      </c>
      <c r="G51" s="178">
        <f t="shared" ref="G51:G61" si="12">+D51/365*E51/100*F51</f>
        <v>90793.627134821814</v>
      </c>
      <c r="H51" s="178">
        <f>(H32-(793499.64*10))/10+763663.42</f>
        <v>1480796.719</v>
      </c>
      <c r="I51" s="179">
        <f t="shared" si="11"/>
        <v>21143.277499261392</v>
      </c>
      <c r="J51" s="278"/>
    </row>
    <row r="52" spans="1:10" x14ac:dyDescent="0.2">
      <c r="A52" s="180" t="s">
        <v>109</v>
      </c>
      <c r="B52" s="175">
        <f t="shared" si="8"/>
        <v>39904</v>
      </c>
      <c r="C52" s="175">
        <v>39994</v>
      </c>
      <c r="D52" s="176">
        <f t="shared" si="10"/>
        <v>91</v>
      </c>
      <c r="E52" s="111">
        <v>3.37</v>
      </c>
      <c r="F52" s="177">
        <f>F$39+G$41-SUM(H$40:H51)-SUM(I$40:I51)</f>
        <v>6644489.1834933553</v>
      </c>
      <c r="G52" s="178">
        <f t="shared" si="12"/>
        <v>55826.451997312521</v>
      </c>
      <c r="H52" s="178">
        <f>(H32-(793499.64*10))/10</f>
        <v>717133.299</v>
      </c>
      <c r="I52" s="179">
        <f t="shared" si="11"/>
        <v>21143.277499261392</v>
      </c>
      <c r="J52" s="278"/>
    </row>
    <row r="53" spans="1:10" x14ac:dyDescent="0.2">
      <c r="A53" s="180" t="s">
        <v>111</v>
      </c>
      <c r="B53" s="175">
        <f t="shared" si="8"/>
        <v>39995</v>
      </c>
      <c r="C53" s="175">
        <v>40086</v>
      </c>
      <c r="D53" s="176">
        <f t="shared" si="10"/>
        <v>92</v>
      </c>
      <c r="E53" s="111">
        <v>3.25</v>
      </c>
      <c r="F53" s="177">
        <f>F$39+G$41-SUM(H$40:H52)-SUM(I$40:I52)</f>
        <v>5906212.6069940934</v>
      </c>
      <c r="G53" s="178">
        <f t="shared" si="12"/>
        <v>48382.399164143397</v>
      </c>
      <c r="H53" s="178">
        <f t="shared" ref="H53:H59" si="13">H52</f>
        <v>717133.299</v>
      </c>
      <c r="I53" s="179">
        <f t="shared" si="11"/>
        <v>21143.277499261392</v>
      </c>
      <c r="J53" s="75"/>
    </row>
    <row r="54" spans="1:10" x14ac:dyDescent="0.2">
      <c r="A54" s="180" t="s">
        <v>101</v>
      </c>
      <c r="B54" s="175">
        <f t="shared" si="8"/>
        <v>40087</v>
      </c>
      <c r="C54" s="175">
        <v>40178</v>
      </c>
      <c r="D54" s="176">
        <f t="shared" si="10"/>
        <v>92</v>
      </c>
      <c r="E54" s="111">
        <v>3.25</v>
      </c>
      <c r="F54" s="177">
        <f>F$39+G$41-SUM(H$40:H53)-SUM(I$40:I53)</f>
        <v>5167936.0304948315</v>
      </c>
      <c r="G54" s="178">
        <f t="shared" si="12"/>
        <v>42334.59926350561</v>
      </c>
      <c r="H54" s="178">
        <f t="shared" si="13"/>
        <v>717133.299</v>
      </c>
      <c r="I54" s="179">
        <f t="shared" si="11"/>
        <v>21143.277499261392</v>
      </c>
      <c r="J54" s="75"/>
    </row>
    <row r="55" spans="1:10" x14ac:dyDescent="0.2">
      <c r="A55" s="180" t="s">
        <v>112</v>
      </c>
      <c r="B55" s="175">
        <f t="shared" si="8"/>
        <v>40179</v>
      </c>
      <c r="C55" s="175">
        <v>40268</v>
      </c>
      <c r="D55" s="176">
        <f t="shared" si="10"/>
        <v>90</v>
      </c>
      <c r="E55" s="111">
        <v>3.25</v>
      </c>
      <c r="F55" s="177">
        <f>F$39+G$41-SUM(H$40:H54)-SUM(I$40:I54)</f>
        <v>4429659.4539955696</v>
      </c>
      <c r="G55" s="178">
        <f t="shared" si="12"/>
        <v>35497.955898457643</v>
      </c>
      <c r="H55" s="178">
        <f t="shared" si="13"/>
        <v>717133.299</v>
      </c>
      <c r="I55" s="179">
        <f t="shared" si="11"/>
        <v>21143.277499261392</v>
      </c>
      <c r="J55" s="75"/>
    </row>
    <row r="56" spans="1:10" x14ac:dyDescent="0.2">
      <c r="A56" s="180" t="s">
        <v>113</v>
      </c>
      <c r="B56" s="175">
        <f t="shared" si="8"/>
        <v>40269</v>
      </c>
      <c r="C56" s="175">
        <v>40359</v>
      </c>
      <c r="D56" s="176">
        <f t="shared" si="10"/>
        <v>91</v>
      </c>
      <c r="E56" s="111">
        <v>3.25</v>
      </c>
      <c r="F56" s="177">
        <f>F$39+G$41-SUM(H$40:H55)-SUM(I$40:I55)</f>
        <v>3691382.8774963073</v>
      </c>
      <c r="G56" s="178">
        <f t="shared" si="12"/>
        <v>29910.314685466656</v>
      </c>
      <c r="H56" s="178">
        <f t="shared" si="13"/>
        <v>717133.299</v>
      </c>
      <c r="I56" s="179">
        <f t="shared" si="11"/>
        <v>21143.277499261392</v>
      </c>
      <c r="J56" s="75"/>
    </row>
    <row r="57" spans="1:10" x14ac:dyDescent="0.2">
      <c r="A57" s="180" t="s">
        <v>114</v>
      </c>
      <c r="B57" s="175">
        <f t="shared" si="8"/>
        <v>40360</v>
      </c>
      <c r="C57" s="175">
        <v>40451</v>
      </c>
      <c r="D57" s="176">
        <f t="shared" si="10"/>
        <v>92</v>
      </c>
      <c r="E57" s="111">
        <v>3.25</v>
      </c>
      <c r="F57" s="177">
        <f>F$39+G$41-SUM(H$40:H56)-SUM(I$40:I56)</f>
        <v>2953106.3009970454</v>
      </c>
      <c r="G57" s="178">
        <f t="shared" si="12"/>
        <v>24191.199561592239</v>
      </c>
      <c r="H57" s="178">
        <f t="shared" si="13"/>
        <v>717133.299</v>
      </c>
      <c r="I57" s="179">
        <f t="shared" si="11"/>
        <v>21143.277499261392</v>
      </c>
      <c r="J57" s="35"/>
    </row>
    <row r="58" spans="1:10" x14ac:dyDescent="0.2">
      <c r="A58" s="180" t="s">
        <v>102</v>
      </c>
      <c r="B58" s="175">
        <f t="shared" si="8"/>
        <v>40452</v>
      </c>
      <c r="C58" s="175">
        <v>40543</v>
      </c>
      <c r="D58" s="176">
        <f t="shared" si="10"/>
        <v>92</v>
      </c>
      <c r="E58" s="111">
        <v>3.25</v>
      </c>
      <c r="F58" s="177">
        <f>F$39+G$41-SUM(H$40:H57)-SUM(I$40:I57)</f>
        <v>2214829.7244977835</v>
      </c>
      <c r="G58" s="178">
        <f t="shared" si="12"/>
        <v>18143.399660954448</v>
      </c>
      <c r="H58" s="178">
        <f t="shared" si="13"/>
        <v>717133.299</v>
      </c>
      <c r="I58" s="179">
        <f t="shared" si="11"/>
        <v>21143.277499261392</v>
      </c>
      <c r="J58" s="35"/>
    </row>
    <row r="59" spans="1:10" x14ac:dyDescent="0.2">
      <c r="A59" s="180" t="s">
        <v>115</v>
      </c>
      <c r="B59" s="175">
        <f t="shared" si="8"/>
        <v>40544</v>
      </c>
      <c r="C59" s="175">
        <v>40633</v>
      </c>
      <c r="D59" s="176">
        <f t="shared" si="10"/>
        <v>90</v>
      </c>
      <c r="E59" s="111">
        <v>3.25</v>
      </c>
      <c r="F59" s="177">
        <f>F$39+G$41-SUM(H$40:H58)-SUM(I$40:I58)</f>
        <v>1476553.1479985216</v>
      </c>
      <c r="G59" s="178">
        <f t="shared" si="12"/>
        <v>11832.651939440206</v>
      </c>
      <c r="H59" s="178">
        <f t="shared" si="13"/>
        <v>717133.299</v>
      </c>
      <c r="I59" s="179">
        <f t="shared" si="11"/>
        <v>21143.277499261392</v>
      </c>
      <c r="J59" s="35"/>
    </row>
    <row r="60" spans="1:10" x14ac:dyDescent="0.2">
      <c r="A60" s="180" t="s">
        <v>116</v>
      </c>
      <c r="B60" s="175">
        <f t="shared" si="8"/>
        <v>40634</v>
      </c>
      <c r="C60" s="175">
        <v>40724</v>
      </c>
      <c r="D60" s="176">
        <f t="shared" si="10"/>
        <v>91</v>
      </c>
      <c r="E60" s="111">
        <v>3.25</v>
      </c>
      <c r="F60" s="177">
        <f>F$39+G$41-SUM(H$40:H59)-SUM(I$40:I59)</f>
        <v>738276.57149925968</v>
      </c>
      <c r="G60" s="178">
        <f t="shared" si="12"/>
        <v>5982.0629046823578</v>
      </c>
      <c r="H60" s="178">
        <f>H59-0.01+0.005</f>
        <v>717133.29399999999</v>
      </c>
      <c r="I60" s="179">
        <f t="shared" si="11"/>
        <v>21143.277499261392</v>
      </c>
      <c r="J60" s="35"/>
    </row>
    <row r="61" spans="1:10" x14ac:dyDescent="0.2">
      <c r="A61" s="181" t="s">
        <v>117</v>
      </c>
      <c r="B61" s="182">
        <f t="shared" si="8"/>
        <v>40725</v>
      </c>
      <c r="C61" s="182">
        <v>40816</v>
      </c>
      <c r="D61" s="183">
        <f t="shared" si="10"/>
        <v>92</v>
      </c>
      <c r="E61" s="111">
        <v>3.25</v>
      </c>
      <c r="F61" s="184">
        <f>F$39+G$41-SUM(H$40:H60)-SUM(I$40:I60)</f>
        <v>-1.5133991837501526E-9</v>
      </c>
      <c r="G61" s="185">
        <f t="shared" si="12"/>
        <v>-1.2397434409350567E-11</v>
      </c>
      <c r="H61" s="185">
        <v>0</v>
      </c>
      <c r="I61" s="186">
        <v>0</v>
      </c>
      <c r="J61" s="35"/>
    </row>
    <row r="62" spans="1:10" x14ac:dyDescent="0.2">
      <c r="G62" s="55"/>
      <c r="H62" s="55">
        <f>SUM(H39:H61)</f>
        <v>15869992.810000002</v>
      </c>
      <c r="I62" s="55"/>
      <c r="J62" s="55"/>
    </row>
    <row r="63" spans="1:10" x14ac:dyDescent="0.2">
      <c r="A63" s="403" t="s">
        <v>125</v>
      </c>
      <c r="B63" s="404"/>
      <c r="C63" s="404"/>
      <c r="D63" s="404"/>
      <c r="E63" s="404"/>
      <c r="F63" s="404"/>
      <c r="G63" s="404"/>
      <c r="H63" s="404"/>
      <c r="I63" s="404"/>
      <c r="J63" s="405"/>
    </row>
    <row r="64" spans="1:10" x14ac:dyDescent="0.2">
      <c r="A64" s="2" t="s">
        <v>10</v>
      </c>
      <c r="B64" s="2" t="s">
        <v>11</v>
      </c>
      <c r="C64" s="2" t="s">
        <v>12</v>
      </c>
      <c r="D64" s="2" t="s">
        <v>13</v>
      </c>
      <c r="E64" s="2" t="s">
        <v>14</v>
      </c>
      <c r="F64" s="2" t="s">
        <v>15</v>
      </c>
      <c r="G64" s="2" t="s">
        <v>16</v>
      </c>
      <c r="H64" s="2"/>
      <c r="I64" s="2"/>
      <c r="J64" s="2" t="s">
        <v>17</v>
      </c>
    </row>
    <row r="65" spans="1:10" ht="51" x14ac:dyDescent="0.2">
      <c r="A65" s="6" t="s">
        <v>18</v>
      </c>
      <c r="B65" s="6" t="s">
        <v>19</v>
      </c>
      <c r="C65" s="6" t="s">
        <v>20</v>
      </c>
      <c r="D65" s="6" t="s">
        <v>21</v>
      </c>
      <c r="E65" s="6" t="s">
        <v>22</v>
      </c>
      <c r="F65" s="6" t="s">
        <v>23</v>
      </c>
      <c r="G65" s="6" t="s">
        <v>130</v>
      </c>
      <c r="H65" s="6" t="s">
        <v>37</v>
      </c>
      <c r="I65" s="6" t="s">
        <v>131</v>
      </c>
      <c r="J65" s="6" t="s">
        <v>25</v>
      </c>
    </row>
    <row r="66" spans="1:10" s="1" customFormat="1" x14ac:dyDescent="0.2">
      <c r="A66" s="160" t="s">
        <v>76</v>
      </c>
      <c r="B66" s="161">
        <f>B30</f>
        <v>38775</v>
      </c>
      <c r="C66" s="162">
        <v>38807</v>
      </c>
      <c r="D66" s="163">
        <f>+C66-B66+1</f>
        <v>33</v>
      </c>
      <c r="E66" s="164">
        <v>6.78</v>
      </c>
      <c r="F66" s="165">
        <f>J33</f>
        <v>222648.98</v>
      </c>
      <c r="G66" s="165">
        <f>D66/365*E66/100*F66</f>
        <v>1364.8077475397263</v>
      </c>
      <c r="H66" s="164"/>
      <c r="I66" s="166"/>
      <c r="J66" s="199">
        <f>+F66+G66</f>
        <v>224013.78774753973</v>
      </c>
    </row>
    <row r="67" spans="1:10" s="1" customFormat="1" x14ac:dyDescent="0.2">
      <c r="A67" s="167" t="s">
        <v>77</v>
      </c>
      <c r="B67" s="168">
        <f>C66+1</f>
        <v>38808</v>
      </c>
      <c r="C67" s="168">
        <v>38898</v>
      </c>
      <c r="D67" s="169">
        <f>+C67-B67+1</f>
        <v>91</v>
      </c>
      <c r="E67" s="170">
        <v>7.3</v>
      </c>
      <c r="F67" s="171">
        <f>J66</f>
        <v>224013.78774753973</v>
      </c>
      <c r="G67" s="171">
        <f>D67/365*E67/100*F67</f>
        <v>4077.0509370052232</v>
      </c>
      <c r="H67" s="172"/>
      <c r="I67" s="173"/>
      <c r="J67" s="200">
        <f>+F67+G67</f>
        <v>228090.83868454496</v>
      </c>
    </row>
    <row r="68" spans="1:10" x14ac:dyDescent="0.2">
      <c r="A68" s="174" t="s">
        <v>78</v>
      </c>
      <c r="B68" s="175">
        <f>C67+1</f>
        <v>38899</v>
      </c>
      <c r="C68" s="110">
        <v>38990</v>
      </c>
      <c r="D68" s="176">
        <f>+C68-B68+1</f>
        <v>92</v>
      </c>
      <c r="E68" s="111">
        <v>7.74</v>
      </c>
      <c r="F68" s="177">
        <f>J67</f>
        <v>228090.83868454496</v>
      </c>
      <c r="G68" s="178">
        <f>+D68/365*E68/100*F68</f>
        <v>4449.8335454928983</v>
      </c>
      <c r="H68" s="178">
        <f>F66/20</f>
        <v>11132.449000000001</v>
      </c>
      <c r="I68" s="179">
        <f>G$69/20</f>
        <v>494.58461150189243</v>
      </c>
      <c r="J68" s="198">
        <f>+F68+G68</f>
        <v>232540.67223003786</v>
      </c>
    </row>
    <row r="69" spans="1:10" x14ac:dyDescent="0.2">
      <c r="A69" s="174"/>
      <c r="B69" s="175"/>
      <c r="C69" s="110"/>
      <c r="D69" s="176"/>
      <c r="E69" s="402" t="s">
        <v>132</v>
      </c>
      <c r="F69" s="402"/>
      <c r="G69" s="202">
        <f>SUM(G66:G68)</f>
        <v>9891.6922300378483</v>
      </c>
      <c r="H69" s="178"/>
      <c r="I69" s="179"/>
      <c r="J69" s="148"/>
    </row>
    <row r="70" spans="1:10" x14ac:dyDescent="0.2">
      <c r="A70" s="174" t="s">
        <v>79</v>
      </c>
      <c r="B70" s="175">
        <f>C68+1</f>
        <v>38991</v>
      </c>
      <c r="C70" s="110">
        <v>39082</v>
      </c>
      <c r="D70" s="176">
        <f>+C70-B70+1</f>
        <v>92</v>
      </c>
      <c r="E70" s="111">
        <v>8.17</v>
      </c>
      <c r="F70" s="177">
        <f>F$66+G$69-SUM(H$68:H69)-SUM(I$68:I69)</f>
        <v>220913.63861853597</v>
      </c>
      <c r="G70" s="178">
        <f>+D70/365*E70/100*F70</f>
        <v>4549.2473241434627</v>
      </c>
      <c r="H70" s="178">
        <f>H68</f>
        <v>11132.449000000001</v>
      </c>
      <c r="I70" s="196">
        <f t="shared" ref="I70:I88" si="14">G$69/20</f>
        <v>494.58461150189243</v>
      </c>
      <c r="J70" s="137"/>
    </row>
    <row r="71" spans="1:10" x14ac:dyDescent="0.2">
      <c r="A71" s="174" t="s">
        <v>80</v>
      </c>
      <c r="B71" s="175">
        <f>C70+1</f>
        <v>39083</v>
      </c>
      <c r="C71" s="110">
        <v>39172</v>
      </c>
      <c r="D71" s="176">
        <f>+C71-B71+1</f>
        <v>90</v>
      </c>
      <c r="E71" s="111">
        <v>8.25</v>
      </c>
      <c r="F71" s="177">
        <f>F$66+G$69-SUM(H$68:H70)-SUM(I$68:I70)</f>
        <v>209286.60500703409</v>
      </c>
      <c r="G71" s="178">
        <f>+D71/365*E71/100*F71</f>
        <v>4257.4055950061038</v>
      </c>
      <c r="H71" s="178">
        <f t="shared" ref="H71:H78" si="15">H70</f>
        <v>11132.449000000001</v>
      </c>
      <c r="I71" s="196">
        <f t="shared" si="14"/>
        <v>494.58461150189243</v>
      </c>
      <c r="J71" s="137"/>
    </row>
    <row r="72" spans="1:10" x14ac:dyDescent="0.2">
      <c r="A72" s="174" t="s">
        <v>81</v>
      </c>
      <c r="B72" s="175">
        <f>C71+1</f>
        <v>39173</v>
      </c>
      <c r="C72" s="110">
        <v>39263</v>
      </c>
      <c r="D72" s="176">
        <f>+C72-B72+1</f>
        <v>91</v>
      </c>
      <c r="E72" s="111">
        <v>8.25</v>
      </c>
      <c r="F72" s="177">
        <f>F$66+G$69-SUM(H$68:H71)-SUM(I$68:I71)</f>
        <v>197659.57139553217</v>
      </c>
      <c r="G72" s="178">
        <f>+D72/365*E72/100*F72</f>
        <v>4065.5595404163232</v>
      </c>
      <c r="H72" s="178">
        <f t="shared" si="15"/>
        <v>11132.449000000001</v>
      </c>
      <c r="I72" s="196">
        <f t="shared" si="14"/>
        <v>494.58461150189243</v>
      </c>
      <c r="J72" s="137"/>
    </row>
    <row r="73" spans="1:10" x14ac:dyDescent="0.2">
      <c r="A73" s="174" t="s">
        <v>82</v>
      </c>
      <c r="B73" s="175">
        <f>C72+1</f>
        <v>39264</v>
      </c>
      <c r="C73" s="110">
        <v>39355</v>
      </c>
      <c r="D73" s="176">
        <f>+C73-B73+1</f>
        <v>92</v>
      </c>
      <c r="E73" s="111">
        <v>8.25</v>
      </c>
      <c r="F73" s="177">
        <f>F$66+G$69-SUM(H$68:H72)-SUM(I$68:I72)</f>
        <v>186032.53778403028</v>
      </c>
      <c r="G73" s="178">
        <f>+D73/365*E73/100*F73</f>
        <v>3868.4574295364109</v>
      </c>
      <c r="H73" s="178">
        <f t="shared" si="15"/>
        <v>11132.449000000001</v>
      </c>
      <c r="I73" s="196">
        <f t="shared" si="14"/>
        <v>494.58461150189243</v>
      </c>
      <c r="J73" s="137"/>
    </row>
    <row r="74" spans="1:10" x14ac:dyDescent="0.2">
      <c r="A74" s="180" t="s">
        <v>83</v>
      </c>
      <c r="B74" s="175">
        <f>C73+1</f>
        <v>39356</v>
      </c>
      <c r="C74" s="110">
        <v>39447</v>
      </c>
      <c r="D74" s="176">
        <f>+C74-B74+1</f>
        <v>92</v>
      </c>
      <c r="E74" s="111">
        <v>8.25</v>
      </c>
      <c r="F74" s="177">
        <f>F$66+G$69-SUM(H$68:H73)-SUM(I$68:I73)</f>
        <v>174405.5041725284</v>
      </c>
      <c r="G74" s="178">
        <f>+D74/365*E74/100*F74</f>
        <v>3626.678840190385</v>
      </c>
      <c r="H74" s="178">
        <f t="shared" si="15"/>
        <v>11132.449000000001</v>
      </c>
      <c r="I74" s="196">
        <f t="shared" si="14"/>
        <v>494.58461150189243</v>
      </c>
      <c r="J74" s="137"/>
    </row>
    <row r="75" spans="1:10" x14ac:dyDescent="0.2">
      <c r="A75" s="180" t="s">
        <v>105</v>
      </c>
      <c r="B75" s="175">
        <f t="shared" ref="B75:B88" si="16">C74+1</f>
        <v>39448</v>
      </c>
      <c r="C75" s="175">
        <v>39538</v>
      </c>
      <c r="D75" s="176">
        <f t="shared" ref="D75:D88" si="17">+C75-B75+1</f>
        <v>91</v>
      </c>
      <c r="E75" s="111">
        <v>7.76</v>
      </c>
      <c r="F75" s="349">
        <f>F$66+G$69-SUM(H$68:H74)-SUM(I$68:I74)</f>
        <v>162778.47056102648</v>
      </c>
      <c r="G75" s="349">
        <f>+D75/366*E75/100*F75</f>
        <v>3140.6460320047668</v>
      </c>
      <c r="H75" s="349">
        <f t="shared" si="15"/>
        <v>11132.449000000001</v>
      </c>
      <c r="I75" s="196">
        <f t="shared" si="14"/>
        <v>494.58461150189243</v>
      </c>
      <c r="J75" s="137"/>
    </row>
    <row r="76" spans="1:10" x14ac:dyDescent="0.2">
      <c r="A76" s="180" t="s">
        <v>106</v>
      </c>
      <c r="B76" s="175">
        <f t="shared" si="16"/>
        <v>39539</v>
      </c>
      <c r="C76" s="175">
        <v>39629</v>
      </c>
      <c r="D76" s="176">
        <f t="shared" si="17"/>
        <v>91</v>
      </c>
      <c r="E76" s="111">
        <v>6.77</v>
      </c>
      <c r="F76" s="349">
        <f>F$66+G$69-SUM(H$68:H75)-SUM(I$68:I75)</f>
        <v>151151.43694952459</v>
      </c>
      <c r="G76" s="349">
        <f>+D76/366*E76/100*F76</f>
        <v>2544.2586273632132</v>
      </c>
      <c r="H76" s="349">
        <f t="shared" si="15"/>
        <v>11132.449000000001</v>
      </c>
      <c r="I76" s="179">
        <f t="shared" si="14"/>
        <v>494.58461150189243</v>
      </c>
    </row>
    <row r="77" spans="1:10" x14ac:dyDescent="0.2">
      <c r="A77" s="180" t="s">
        <v>107</v>
      </c>
      <c r="B77" s="175">
        <f t="shared" si="16"/>
        <v>39630</v>
      </c>
      <c r="C77" s="175">
        <v>39721</v>
      </c>
      <c r="D77" s="176">
        <f t="shared" si="17"/>
        <v>92</v>
      </c>
      <c r="E77" s="111">
        <v>5.3</v>
      </c>
      <c r="F77" s="349">
        <f>F$66+G$69-SUM(H$68:H76)-SUM(I$68:I76)</f>
        <v>139524.4033380227</v>
      </c>
      <c r="G77" s="349">
        <f>+D77/366*E77/100*F77</f>
        <v>1858.8005209732205</v>
      </c>
      <c r="H77" s="349">
        <f t="shared" si="15"/>
        <v>11132.449000000001</v>
      </c>
      <c r="I77" s="179">
        <f t="shared" si="14"/>
        <v>494.58461150189243</v>
      </c>
    </row>
    <row r="78" spans="1:10" x14ac:dyDescent="0.2">
      <c r="A78" s="180" t="s">
        <v>100</v>
      </c>
      <c r="B78" s="175">
        <f t="shared" si="16"/>
        <v>39722</v>
      </c>
      <c r="C78" s="175">
        <v>39813</v>
      </c>
      <c r="D78" s="176">
        <f t="shared" si="17"/>
        <v>92</v>
      </c>
      <c r="E78" s="111">
        <v>5</v>
      </c>
      <c r="F78" s="349">
        <f>F$66+G$69-SUM(H$68:H77)-SUM(I$68:I77)</f>
        <v>127897.36972652083</v>
      </c>
      <c r="G78" s="349">
        <f>+D78/366*E78/100*F78</f>
        <v>1607.4532807158357</v>
      </c>
      <c r="H78" s="349">
        <f t="shared" si="15"/>
        <v>11132.449000000001</v>
      </c>
      <c r="I78" s="179">
        <f t="shared" si="14"/>
        <v>494.58461150189243</v>
      </c>
      <c r="J78" s="55">
        <f>SUM(I75:I78)</f>
        <v>1978.3384460075697</v>
      </c>
    </row>
    <row r="79" spans="1:10" x14ac:dyDescent="0.2">
      <c r="A79" s="180" t="s">
        <v>108</v>
      </c>
      <c r="B79" s="175">
        <f t="shared" si="16"/>
        <v>39814</v>
      </c>
      <c r="C79" s="175">
        <v>39903</v>
      </c>
      <c r="D79" s="176">
        <f t="shared" si="17"/>
        <v>90</v>
      </c>
      <c r="E79" s="111">
        <v>4.5199999999999996</v>
      </c>
      <c r="F79" s="177">
        <f>F$66+G$69-SUM(H$68:H78)-SUM(I$68:I78)</f>
        <v>116270.33611501894</v>
      </c>
      <c r="G79" s="178">
        <f t="shared" ref="G79:G89" si="18">+D79/365*E79/100*F79</f>
        <v>1295.8567871668413</v>
      </c>
      <c r="H79" s="178">
        <f>(J32-(11132.45*10))/10-J31</f>
        <v>20774.931000000004</v>
      </c>
      <c r="I79" s="179">
        <f t="shared" si="14"/>
        <v>494.58461150189243</v>
      </c>
      <c r="J79" s="55">
        <f>SUM(G75:G78)</f>
        <v>9151.1584610570353</v>
      </c>
    </row>
    <row r="80" spans="1:10" x14ac:dyDescent="0.2">
      <c r="A80" s="180" t="s">
        <v>109</v>
      </c>
      <c r="B80" s="175">
        <f t="shared" si="16"/>
        <v>39904</v>
      </c>
      <c r="C80" s="175">
        <v>39994</v>
      </c>
      <c r="D80" s="176">
        <f t="shared" si="17"/>
        <v>91</v>
      </c>
      <c r="E80" s="111">
        <v>3.37</v>
      </c>
      <c r="F80" s="177">
        <f>F$66+G$69-SUM(H$68:H79)-SUM(I$68:I79)</f>
        <v>95000.820503517039</v>
      </c>
      <c r="G80" s="178">
        <f t="shared" si="18"/>
        <v>798.18908558393332</v>
      </c>
      <c r="H80" s="178">
        <f>(J32-(11132.45*10))/10</f>
        <v>10061.061000000002</v>
      </c>
      <c r="I80" s="179">
        <f t="shared" si="14"/>
        <v>494.58461150189243</v>
      </c>
      <c r="J80" s="55">
        <f>J79+J78</f>
        <v>11129.496907064606</v>
      </c>
    </row>
    <row r="81" spans="1:10" x14ac:dyDescent="0.2">
      <c r="A81" s="180" t="s">
        <v>111</v>
      </c>
      <c r="B81" s="175">
        <f t="shared" si="16"/>
        <v>39995</v>
      </c>
      <c r="C81" s="175">
        <v>40086</v>
      </c>
      <c r="D81" s="176">
        <f t="shared" si="17"/>
        <v>92</v>
      </c>
      <c r="E81" s="111">
        <v>3.25</v>
      </c>
      <c r="F81" s="177">
        <f>F$66+G$69-SUM(H$68:H80)-SUM(I$68:I80)</f>
        <v>84445.174892015129</v>
      </c>
      <c r="G81" s="178">
        <f t="shared" si="18"/>
        <v>691.75636418390479</v>
      </c>
      <c r="H81" s="178">
        <f t="shared" ref="H81:H87" si="19">H80</f>
        <v>10061.061000000002</v>
      </c>
      <c r="I81" s="179">
        <f t="shared" si="14"/>
        <v>494.58461150189243</v>
      </c>
    </row>
    <row r="82" spans="1:10" x14ac:dyDescent="0.2">
      <c r="A82" s="180" t="s">
        <v>101</v>
      </c>
      <c r="B82" s="175">
        <f t="shared" si="16"/>
        <v>40087</v>
      </c>
      <c r="C82" s="175">
        <v>40178</v>
      </c>
      <c r="D82" s="176">
        <f t="shared" si="17"/>
        <v>92</v>
      </c>
      <c r="E82" s="111">
        <v>3.25</v>
      </c>
      <c r="F82" s="177">
        <f>F$66+G$69-SUM(H$68:H81)-SUM(I$68:I81)</f>
        <v>73889.529280513249</v>
      </c>
      <c r="G82" s="178">
        <f t="shared" si="18"/>
        <v>605.28682890064283</v>
      </c>
      <c r="H82" s="178">
        <f t="shared" si="19"/>
        <v>10061.061000000002</v>
      </c>
      <c r="I82" s="179">
        <f t="shared" si="14"/>
        <v>494.58461150189243</v>
      </c>
      <c r="J82" s="55">
        <f>SUM(I79:I82)</f>
        <v>1978.3384460075697</v>
      </c>
    </row>
    <row r="83" spans="1:10" x14ac:dyDescent="0.2">
      <c r="A83" s="180" t="s">
        <v>112</v>
      </c>
      <c r="B83" s="175">
        <f t="shared" si="16"/>
        <v>40179</v>
      </c>
      <c r="C83" s="175">
        <v>40268</v>
      </c>
      <c r="D83" s="176">
        <f t="shared" si="17"/>
        <v>90</v>
      </c>
      <c r="E83" s="111">
        <v>3.25</v>
      </c>
      <c r="F83" s="177">
        <f>F$66+G$69-SUM(H$68:H82)-SUM(I$68:I82)</f>
        <v>63333.883669011375</v>
      </c>
      <c r="G83" s="178">
        <f t="shared" si="18"/>
        <v>507.53865679961166</v>
      </c>
      <c r="H83" s="178">
        <f t="shared" si="19"/>
        <v>10061.061000000002</v>
      </c>
      <c r="I83" s="179">
        <f t="shared" si="14"/>
        <v>494.58461150189243</v>
      </c>
      <c r="J83" s="55">
        <f>SUM(G79:G82)</f>
        <v>3391.0890658353223</v>
      </c>
    </row>
    <row r="84" spans="1:10" x14ac:dyDescent="0.2">
      <c r="A84" s="180" t="s">
        <v>113</v>
      </c>
      <c r="B84" s="175">
        <f t="shared" si="16"/>
        <v>40269</v>
      </c>
      <c r="C84" s="175">
        <v>40359</v>
      </c>
      <c r="D84" s="176">
        <f t="shared" si="17"/>
        <v>91</v>
      </c>
      <c r="E84" s="111">
        <v>3.25</v>
      </c>
      <c r="F84" s="177">
        <f>F$66+G$69-SUM(H$68:H83)-SUM(I$68:I83)</f>
        <v>52778.238057509494</v>
      </c>
      <c r="G84" s="178">
        <f t="shared" si="18"/>
        <v>427.64832617831325</v>
      </c>
      <c r="H84" s="178">
        <f t="shared" si="19"/>
        <v>10061.061000000002</v>
      </c>
      <c r="I84" s="179">
        <f t="shared" si="14"/>
        <v>494.58461150189243</v>
      </c>
      <c r="J84" s="55">
        <f>J83+J82</f>
        <v>5369.4275118428923</v>
      </c>
    </row>
    <row r="85" spans="1:10" x14ac:dyDescent="0.2">
      <c r="A85" s="180" t="s">
        <v>114</v>
      </c>
      <c r="B85" s="175">
        <f t="shared" si="16"/>
        <v>40360</v>
      </c>
      <c r="C85" s="175">
        <v>40451</v>
      </c>
      <c r="D85" s="176">
        <f t="shared" si="17"/>
        <v>92</v>
      </c>
      <c r="E85" s="111">
        <v>3.25</v>
      </c>
      <c r="F85" s="177">
        <f>F$66+G$69-SUM(H$68:H84)-SUM(I$68:I84)</f>
        <v>42222.59244600762</v>
      </c>
      <c r="G85" s="178">
        <f t="shared" si="18"/>
        <v>345.878223050857</v>
      </c>
      <c r="H85" s="178">
        <f t="shared" si="19"/>
        <v>10061.061000000002</v>
      </c>
      <c r="I85" s="179">
        <f t="shared" si="14"/>
        <v>494.58461150189243</v>
      </c>
    </row>
    <row r="86" spans="1:10" x14ac:dyDescent="0.2">
      <c r="A86" s="180" t="s">
        <v>102</v>
      </c>
      <c r="B86" s="175">
        <f t="shared" si="16"/>
        <v>40452</v>
      </c>
      <c r="C86" s="175">
        <v>40543</v>
      </c>
      <c r="D86" s="176">
        <f t="shared" si="17"/>
        <v>92</v>
      </c>
      <c r="E86" s="111">
        <v>3.25</v>
      </c>
      <c r="F86" s="177">
        <f>F$66+G$69-SUM(H$68:H85)-SUM(I$68:I85)</f>
        <v>31666.946834505739</v>
      </c>
      <c r="G86" s="178">
        <f t="shared" si="18"/>
        <v>259.40868776759498</v>
      </c>
      <c r="H86" s="178">
        <f t="shared" si="19"/>
        <v>10061.061000000002</v>
      </c>
      <c r="I86" s="179">
        <f t="shared" si="14"/>
        <v>494.58461150189243</v>
      </c>
      <c r="J86" s="55">
        <f>SUM(I83:I86)</f>
        <v>1978.3384460075697</v>
      </c>
    </row>
    <row r="87" spans="1:10" x14ac:dyDescent="0.2">
      <c r="A87" s="180" t="s">
        <v>115</v>
      </c>
      <c r="B87" s="175">
        <f t="shared" si="16"/>
        <v>40544</v>
      </c>
      <c r="C87" s="175">
        <v>40633</v>
      </c>
      <c r="D87" s="176">
        <f t="shared" si="17"/>
        <v>90</v>
      </c>
      <c r="E87" s="111">
        <v>3.25</v>
      </c>
      <c r="F87" s="177">
        <f>F$66+G$69-SUM(H$68:H86)-SUM(I$68:I86)</f>
        <v>21111.301223003858</v>
      </c>
      <c r="G87" s="178">
        <f t="shared" si="18"/>
        <v>169.17960569119529</v>
      </c>
      <c r="H87" s="178">
        <f t="shared" si="19"/>
        <v>10061.061000000002</v>
      </c>
      <c r="I87" s="179">
        <f t="shared" si="14"/>
        <v>494.58461150189243</v>
      </c>
      <c r="J87" s="55">
        <f>SUM(G83:G86)</f>
        <v>1540.4738937963768</v>
      </c>
    </row>
    <row r="88" spans="1:10" x14ac:dyDescent="0.2">
      <c r="A88" s="180" t="s">
        <v>116</v>
      </c>
      <c r="B88" s="175">
        <f t="shared" si="16"/>
        <v>40634</v>
      </c>
      <c r="C88" s="175">
        <v>40724</v>
      </c>
      <c r="D88" s="176">
        <f t="shared" si="17"/>
        <v>91</v>
      </c>
      <c r="E88" s="111">
        <v>3.25</v>
      </c>
      <c r="F88" s="177">
        <f>F$66+G$69-SUM(H$68:H87)-SUM(I$68:I87)</f>
        <v>10555.655611501979</v>
      </c>
      <c r="G88" s="178">
        <f t="shared" si="18"/>
        <v>85.529730057581105</v>
      </c>
      <c r="H88" s="178">
        <f>H87+0.01</f>
        <v>10061.071000000002</v>
      </c>
      <c r="I88" s="179">
        <f t="shared" si="14"/>
        <v>494.58461150189243</v>
      </c>
      <c r="J88" s="55">
        <f>J87+J86</f>
        <v>3518.8123398039465</v>
      </c>
    </row>
    <row r="89" spans="1:10" x14ac:dyDescent="0.2">
      <c r="A89" s="181"/>
      <c r="B89" s="182"/>
      <c r="C89" s="182"/>
      <c r="D89" s="183"/>
      <c r="E89" s="111"/>
      <c r="F89" s="177">
        <f>F$66+G$69-SUM(H$68:H88)-SUM(I$68:I88)</f>
        <v>9.0949470177292824E-11</v>
      </c>
      <c r="G89" s="185">
        <f t="shared" si="18"/>
        <v>0</v>
      </c>
      <c r="H89" s="185">
        <v>0</v>
      </c>
      <c r="I89" s="186">
        <v>0</v>
      </c>
    </row>
    <row r="90" spans="1:10" x14ac:dyDescent="0.2">
      <c r="G90" s="55"/>
      <c r="H90" s="55">
        <f>SUM(H68:H89)</f>
        <v>222648.97999999992</v>
      </c>
      <c r="I90" s="55"/>
    </row>
    <row r="91" spans="1:10" x14ac:dyDescent="0.2">
      <c r="I91" s="55"/>
    </row>
    <row r="92" spans="1:10" x14ac:dyDescent="0.2">
      <c r="G92" s="55"/>
    </row>
    <row r="102" spans="1:7" x14ac:dyDescent="0.2">
      <c r="A102" s="350" t="s">
        <v>176</v>
      </c>
    </row>
    <row r="103" spans="1:7" ht="13.5" thickBot="1" x14ac:dyDescent="0.25"/>
    <row r="104" spans="1:7" x14ac:dyDescent="0.2">
      <c r="A104" s="351" t="s">
        <v>160</v>
      </c>
      <c r="B104" s="352" t="s">
        <v>89</v>
      </c>
      <c r="C104" s="352" t="s">
        <v>161</v>
      </c>
      <c r="D104" s="353" t="s">
        <v>173</v>
      </c>
      <c r="E104" s="352" t="s">
        <v>162</v>
      </c>
      <c r="F104" s="353" t="s">
        <v>174</v>
      </c>
      <c r="G104" s="354"/>
    </row>
    <row r="105" spans="1:7" x14ac:dyDescent="0.2">
      <c r="A105" s="355" t="s">
        <v>166</v>
      </c>
      <c r="B105" s="356">
        <f>6949106.31+351295</f>
        <v>7300401.3099999996</v>
      </c>
      <c r="C105" s="271">
        <v>-351295.03</v>
      </c>
      <c r="D105" s="271">
        <f t="shared" ref="D105:D110" si="20">C105+B105</f>
        <v>6949106.2799999993</v>
      </c>
      <c r="E105" s="271">
        <f>(D105-(365020*10))/10</f>
        <v>329890.62799999991</v>
      </c>
      <c r="F105" s="271">
        <v>365020.08</v>
      </c>
      <c r="G105" s="357"/>
    </row>
    <row r="106" spans="1:7" x14ac:dyDescent="0.2">
      <c r="A106" s="355" t="s">
        <v>167</v>
      </c>
      <c r="B106" s="271">
        <f>1376558.9+69589</f>
        <v>1446147.9</v>
      </c>
      <c r="C106" s="271">
        <v>-69588.56</v>
      </c>
      <c r="D106" s="271">
        <f t="shared" si="20"/>
        <v>1376559.3399999999</v>
      </c>
      <c r="E106" s="271">
        <f>(D106-(72307*10))/10</f>
        <v>65348.933999999987</v>
      </c>
      <c r="F106" s="271">
        <v>72307.37</v>
      </c>
      <c r="G106" s="357"/>
    </row>
    <row r="107" spans="1:7" x14ac:dyDescent="0.2">
      <c r="A107" s="355" t="s">
        <v>168</v>
      </c>
      <c r="B107" s="271">
        <f>3352761.97+169491</f>
        <v>3522252.97</v>
      </c>
      <c r="C107" s="271">
        <v>-169490.65</v>
      </c>
      <c r="D107" s="271">
        <f t="shared" si="20"/>
        <v>3352762.3200000003</v>
      </c>
      <c r="E107" s="271">
        <f>(D107-(176113*10))/10</f>
        <v>159163.23200000002</v>
      </c>
      <c r="F107" s="271">
        <v>176112.63</v>
      </c>
      <c r="G107" s="357"/>
    </row>
    <row r="108" spans="1:7" x14ac:dyDescent="0.2">
      <c r="A108" s="355" t="s">
        <v>169</v>
      </c>
      <c r="B108" s="271">
        <f>765881.66+38717</f>
        <v>804598.66</v>
      </c>
      <c r="C108" s="271">
        <v>-38717.269999999997</v>
      </c>
      <c r="D108" s="271">
        <f t="shared" si="20"/>
        <v>765881.39</v>
      </c>
      <c r="E108" s="271">
        <f>(D108-(40230*10))/10</f>
        <v>36358.139000000003</v>
      </c>
      <c r="F108" s="271">
        <v>40229.96</v>
      </c>
      <c r="G108" s="357"/>
    </row>
    <row r="109" spans="1:7" x14ac:dyDescent="0.2">
      <c r="A109" s="355" t="s">
        <v>170</v>
      </c>
      <c r="B109" s="271">
        <f>2297645.02+116152</f>
        <v>2413797.02</v>
      </c>
      <c r="C109" s="271">
        <v>-116151.81</v>
      </c>
      <c r="D109" s="271">
        <f t="shared" si="20"/>
        <v>2297645.21</v>
      </c>
      <c r="E109" s="271">
        <f>(D109-(120690*10))/10</f>
        <v>109074.52099999999</v>
      </c>
      <c r="F109" s="271">
        <v>120689.84</v>
      </c>
      <c r="G109" s="357"/>
    </row>
    <row r="110" spans="1:7" x14ac:dyDescent="0.2">
      <c r="A110" s="355" t="s">
        <v>171</v>
      </c>
      <c r="B110" s="271">
        <f>364375.22+18420</f>
        <v>382795.22</v>
      </c>
      <c r="C110" s="271">
        <v>-18420.099999999999</v>
      </c>
      <c r="D110" s="271">
        <f t="shared" si="20"/>
        <v>364375.12</v>
      </c>
      <c r="E110" s="271">
        <f>(D110-(19140*10))/10</f>
        <v>17297.511999999999</v>
      </c>
      <c r="F110" s="271">
        <v>19139.77</v>
      </c>
      <c r="G110" s="357"/>
    </row>
    <row r="111" spans="1:7" x14ac:dyDescent="0.2">
      <c r="A111" s="355"/>
      <c r="B111" s="271">
        <f>SUM(B105:B110)</f>
        <v>15869993.08</v>
      </c>
      <c r="C111" s="271">
        <f>SUM(C105:C110)</f>
        <v>-763663.42</v>
      </c>
      <c r="D111" s="271">
        <f>SUM(D105:D110)</f>
        <v>15106329.659999998</v>
      </c>
      <c r="E111" s="271">
        <f>SUM(E105:E110)</f>
        <v>717132.9659999999</v>
      </c>
      <c r="F111" s="271">
        <f>SUM(F105:F110)</f>
        <v>793499.65</v>
      </c>
      <c r="G111" s="357"/>
    </row>
    <row r="112" spans="1:7" x14ac:dyDescent="0.2">
      <c r="A112" s="355"/>
      <c r="B112" s="271"/>
      <c r="C112" s="271"/>
      <c r="D112" s="271"/>
      <c r="E112" s="271">
        <f>H32</f>
        <v>15106329.390000001</v>
      </c>
      <c r="F112" s="271">
        <f>F111*20</f>
        <v>15869993</v>
      </c>
      <c r="G112" s="357"/>
    </row>
    <row r="113" spans="1:7" x14ac:dyDescent="0.2">
      <c r="A113" s="355"/>
      <c r="B113" s="271"/>
      <c r="C113" s="271"/>
      <c r="D113" s="271"/>
      <c r="E113" s="271"/>
      <c r="F113" s="271"/>
      <c r="G113" s="357"/>
    </row>
    <row r="114" spans="1:7" x14ac:dyDescent="0.2">
      <c r="A114" s="355"/>
      <c r="B114" s="271"/>
      <c r="C114" s="271"/>
      <c r="D114" s="271"/>
      <c r="E114" s="271"/>
      <c r="F114" s="271"/>
      <c r="G114" s="357"/>
    </row>
    <row r="115" spans="1:7" ht="13.5" thickBot="1" x14ac:dyDescent="0.25">
      <c r="A115" s="358"/>
      <c r="B115" s="359"/>
      <c r="C115" s="359"/>
      <c r="D115" s="359"/>
      <c r="E115" s="359"/>
      <c r="F115" s="359"/>
      <c r="G115" s="360"/>
    </row>
    <row r="117" spans="1:7" ht="13.5" thickBot="1" x14ac:dyDescent="0.25"/>
    <row r="118" spans="1:7" x14ac:dyDescent="0.2">
      <c r="A118" s="361" t="s">
        <v>163</v>
      </c>
      <c r="B118" s="352" t="s">
        <v>161</v>
      </c>
      <c r="C118" s="353" t="s">
        <v>172</v>
      </c>
      <c r="D118" s="352" t="s">
        <v>164</v>
      </c>
      <c r="E118" s="352" t="s">
        <v>165</v>
      </c>
      <c r="F118" s="272"/>
      <c r="G118" s="273"/>
    </row>
    <row r="119" spans="1:7" x14ac:dyDescent="0.2">
      <c r="A119" s="362">
        <v>97492.89</v>
      </c>
      <c r="B119" s="271">
        <v>-4928.51</v>
      </c>
      <c r="C119" s="271">
        <f t="shared" ref="C119:C124" si="21">B119+A119</f>
        <v>92564.38</v>
      </c>
      <c r="D119" s="271">
        <f t="shared" ref="D119:D124" si="22">C119/20</f>
        <v>4628.2190000000001</v>
      </c>
      <c r="E119" s="271">
        <v>5121.07</v>
      </c>
      <c r="F119" s="35"/>
      <c r="G119" s="274"/>
    </row>
    <row r="120" spans="1:7" x14ac:dyDescent="0.2">
      <c r="A120" s="362">
        <v>19312.509999999998</v>
      </c>
      <c r="B120" s="271">
        <v>-976.3</v>
      </c>
      <c r="C120" s="271">
        <f t="shared" si="21"/>
        <v>18336.21</v>
      </c>
      <c r="D120" s="271">
        <f t="shared" si="22"/>
        <v>916.81049999999993</v>
      </c>
      <c r="E120" s="271">
        <v>1014.44</v>
      </c>
      <c r="F120" s="35"/>
      <c r="G120" s="274"/>
    </row>
    <row r="121" spans="1:7" x14ac:dyDescent="0.2">
      <c r="A121" s="362">
        <v>47037.77</v>
      </c>
      <c r="B121" s="271">
        <v>-2377.88</v>
      </c>
      <c r="C121" s="271">
        <f t="shared" si="21"/>
        <v>44659.89</v>
      </c>
      <c r="D121" s="271">
        <f t="shared" si="22"/>
        <v>2232.9944999999998</v>
      </c>
      <c r="E121" s="271">
        <v>2470.7800000000002</v>
      </c>
      <c r="F121" s="35"/>
      <c r="G121" s="274"/>
    </row>
    <row r="122" spans="1:7" x14ac:dyDescent="0.2">
      <c r="A122" s="362">
        <v>10744.98</v>
      </c>
      <c r="B122" s="271">
        <v>-513.19000000000005</v>
      </c>
      <c r="C122" s="271">
        <f t="shared" si="21"/>
        <v>10231.789999999999</v>
      </c>
      <c r="D122" s="271">
        <f t="shared" si="22"/>
        <v>511.58949999999993</v>
      </c>
      <c r="E122" s="271">
        <v>564.41</v>
      </c>
      <c r="F122" s="35"/>
      <c r="G122" s="274"/>
    </row>
    <row r="123" spans="1:7" x14ac:dyDescent="0.2">
      <c r="A123" s="362">
        <v>32234.04</v>
      </c>
      <c r="B123" s="271">
        <v>-1629.56</v>
      </c>
      <c r="C123" s="271">
        <f t="shared" si="21"/>
        <v>30604.48</v>
      </c>
      <c r="D123" s="271">
        <f t="shared" si="22"/>
        <v>1530.2239999999999</v>
      </c>
      <c r="E123" s="271">
        <v>1693.22</v>
      </c>
      <c r="F123" s="35"/>
      <c r="G123" s="274"/>
    </row>
    <row r="124" spans="1:7" x14ac:dyDescent="0.2">
      <c r="A124" s="362">
        <v>5112.0200000000004</v>
      </c>
      <c r="B124" s="271">
        <v>-258.43</v>
      </c>
      <c r="C124" s="271">
        <f t="shared" si="21"/>
        <v>4853.59</v>
      </c>
      <c r="D124" s="271">
        <f t="shared" si="22"/>
        <v>242.67950000000002</v>
      </c>
      <c r="E124" s="271">
        <v>268.52</v>
      </c>
      <c r="F124" s="35"/>
      <c r="G124" s="274"/>
    </row>
    <row r="125" spans="1:7" x14ac:dyDescent="0.2">
      <c r="A125" s="362">
        <f>SUM(A119:A124)</f>
        <v>211934.21</v>
      </c>
      <c r="B125" s="271">
        <f>SUM(B119:B124)</f>
        <v>-10683.87</v>
      </c>
      <c r="C125" s="271">
        <f>SUM(C119:C124)</f>
        <v>201250.34</v>
      </c>
      <c r="D125" s="271">
        <f>SUM(D119:D124)</f>
        <v>10062.517</v>
      </c>
      <c r="E125" s="271">
        <f>SUM(E119:E124)</f>
        <v>11132.44</v>
      </c>
      <c r="F125" s="35"/>
      <c r="G125" s="274"/>
    </row>
    <row r="126" spans="1:7" x14ac:dyDescent="0.2">
      <c r="A126" s="362"/>
      <c r="B126" s="271"/>
      <c r="C126" s="271"/>
      <c r="D126" s="271">
        <f>D125*20</f>
        <v>201250.34</v>
      </c>
      <c r="E126" s="271">
        <f>E125*20</f>
        <v>222648.80000000002</v>
      </c>
      <c r="F126" s="35"/>
      <c r="G126" s="274"/>
    </row>
    <row r="127" spans="1:7" x14ac:dyDescent="0.2">
      <c r="A127" s="362"/>
      <c r="B127" s="271"/>
      <c r="C127" s="271"/>
      <c r="D127" s="271"/>
      <c r="E127" s="271"/>
      <c r="F127" s="35"/>
      <c r="G127" s="274"/>
    </row>
    <row r="128" spans="1:7" ht="13.5" thickBot="1" x14ac:dyDescent="0.25">
      <c r="A128" s="363"/>
      <c r="B128" s="359"/>
      <c r="C128" s="359"/>
      <c r="D128" s="359"/>
      <c r="E128" s="359"/>
      <c r="F128" s="275"/>
      <c r="G128" s="276"/>
    </row>
    <row r="129" spans="1:5" x14ac:dyDescent="0.2">
      <c r="A129" s="271"/>
      <c r="B129" s="271"/>
      <c r="C129" s="271"/>
      <c r="D129" s="271"/>
      <c r="E129" s="271"/>
    </row>
  </sheetData>
  <customSheetViews>
    <customSheetView guid="{6086CA2F-D319-4FB4-8773-987A9787386E}" scale="75" showRuler="0" topLeftCell="A33">
      <selection sqref="A1:IV65536"/>
      <rowBreaks count="1" manualBreakCount="1">
        <brk id="33" max="16383" man="1"/>
      </rowBreaks>
      <pageMargins left="0.75" right="0.75" top="1" bottom="1" header="0.5" footer="0.5"/>
      <pageSetup scale="62" orientation="landscape" r:id="rId1"/>
      <headerFooter alignWithMargins="0">
        <oddFooter>&amp;L&amp;D&amp;R&amp;A</oddFooter>
      </headerFooter>
    </customSheetView>
  </customSheetViews>
  <mergeCells count="8">
    <mergeCell ref="N34:X34"/>
    <mergeCell ref="E41:F41"/>
    <mergeCell ref="A63:J63"/>
    <mergeCell ref="E69:F69"/>
    <mergeCell ref="C1:F1"/>
    <mergeCell ref="H1:K1"/>
    <mergeCell ref="A34:B34"/>
    <mergeCell ref="A36:J36"/>
  </mergeCells>
  <phoneticPr fontId="2" type="noConversion"/>
  <pageMargins left="0.5" right="0.5" top="1" bottom="0.89" header="0.5" footer="0.5"/>
  <pageSetup scale="59" orientation="landscape" r:id="rId2"/>
  <headerFooter alignWithMargins="0">
    <oddHeader>&amp;C&amp;A&amp;RAttachment 4
WP-Schedule 22 
&amp;P of &amp;N</oddHeader>
  </headerFooter>
  <rowBreaks count="2" manualBreakCount="2">
    <brk id="34" max="16383" man="1"/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2011 Quarterly </vt:lpstr>
      <vt:lpstr>2010 Quarterly</vt:lpstr>
      <vt:lpstr>Magnolia</vt:lpstr>
      <vt:lpstr>Mountainview</vt:lpstr>
      <vt:lpstr>NPC Lenzie - Breakers</vt:lpstr>
      <vt:lpstr>Pastoria</vt:lpstr>
      <vt:lpstr>SNWA</vt:lpstr>
      <vt:lpstr>Lugo</vt:lpstr>
      <vt:lpstr>Moenkopi</vt:lpstr>
      <vt:lpstr>Inland Empire Energy Center</vt:lpstr>
      <vt:lpstr>Blythe I</vt:lpstr>
      <vt:lpstr>'2010 Quarterly'!Print_Area</vt:lpstr>
      <vt:lpstr>'2011 Quarterly '!Print_Area</vt:lpstr>
      <vt:lpstr>'Blythe I'!Print_Area</vt:lpstr>
      <vt:lpstr>Lugo!Print_Area</vt:lpstr>
      <vt:lpstr>Moenkopi!Print_Area</vt:lpstr>
      <vt:lpstr>Pastoria!Print_Area</vt:lpstr>
      <vt:lpstr>'2010 Quarterly'!Print_Titles</vt:lpstr>
      <vt:lpstr>'2011 Quarterly 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Transmission Credit 2006 Interest Refunds</dc:title>
  <dc:creator>Jo Reichenbach</dc:creator>
  <cp:lastModifiedBy>Standard Configuration</cp:lastModifiedBy>
  <cp:lastPrinted>2012-09-13T19:57:28Z</cp:lastPrinted>
  <dcterms:created xsi:type="dcterms:W3CDTF">2006-03-16T23:48:07Z</dcterms:created>
  <dcterms:modified xsi:type="dcterms:W3CDTF">2012-09-13T19:57:28Z</dcterms:modified>
</cp:coreProperties>
</file>